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usec\Downloads\"/>
    </mc:Choice>
  </mc:AlternateContent>
  <bookViews>
    <workbookView xWindow="0" yWindow="0" windowWidth="28800" windowHeight="14100" tabRatio="899" activeTab="2"/>
  </bookViews>
  <sheets>
    <sheet name="Predpoklady" sheetId="1" r:id="rId1"/>
    <sheet name="01 Investičné výdavky" sheetId="3" r:id="rId2"/>
    <sheet name="02 Zostatková hodnota" sheetId="5" r:id="rId3"/>
    <sheet name="03 Prevádzkové výdavky" sheetId="6" r:id="rId4"/>
    <sheet name="04 Prevádzkové príjmy" sheetId="7" r:id="rId5"/>
    <sheet name="05 Finančná analýza" sheetId="8" r:id="rId6"/>
    <sheet name="Vstupy emisie" sheetId="10" r:id="rId7"/>
    <sheet name="07 Ekonomická analýza" sheetId="9" r:id="rId8"/>
  </sheets>
  <definedNames>
    <definedName name="_ftn1" localSheetId="2">'02 Zostatková hodnota'!#REF!</definedName>
    <definedName name="_ftnref1" localSheetId="2">'02 Zostatková hodnota'!#REF!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5" l="1"/>
  <c r="H6" i="5"/>
  <c r="G10" i="5"/>
  <c r="I32" i="9" l="1"/>
  <c r="C32" i="9"/>
  <c r="I21" i="9"/>
  <c r="C21" i="9"/>
  <c r="I10" i="9"/>
  <c r="C10" i="9" s="1"/>
  <c r="C34" i="9"/>
  <c r="C33" i="9"/>
  <c r="C31" i="9"/>
  <c r="C22" i="9"/>
  <c r="C20" i="9"/>
  <c r="C12" i="9"/>
  <c r="C11" i="9"/>
  <c r="C9" i="9"/>
  <c r="C78" i="1" l="1"/>
  <c r="C79" i="1" s="1"/>
  <c r="D23" i="6" s="1"/>
  <c r="C60" i="1"/>
  <c r="C73" i="1"/>
  <c r="D20" i="6" s="1"/>
  <c r="C29" i="1"/>
  <c r="C59" i="1" s="1"/>
  <c r="C31" i="1"/>
  <c r="D6" i="6" s="1"/>
  <c r="D14" i="6" s="1"/>
  <c r="C24" i="1"/>
  <c r="D5" i="6" s="1"/>
  <c r="D13" i="6" s="1"/>
  <c r="C19" i="1"/>
  <c r="D4" i="6" s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AG4" i="6" s="1"/>
  <c r="C28" i="1"/>
  <c r="D7" i="6" s="1"/>
  <c r="E7" i="6" s="1"/>
  <c r="C80" i="1" l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E23" i="6"/>
  <c r="F23" i="6" s="1"/>
  <c r="G23" i="6" s="1"/>
  <c r="H23" i="6" s="1"/>
  <c r="I23" i="6" s="1"/>
  <c r="J23" i="6" s="1"/>
  <c r="K23" i="6" s="1"/>
  <c r="L23" i="6" s="1"/>
  <c r="M23" i="6" s="1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G23" i="6" s="1"/>
  <c r="E20" i="6"/>
  <c r="C61" i="1"/>
  <c r="D12" i="6"/>
  <c r="E12" i="6"/>
  <c r="E15" i="6"/>
  <c r="F7" i="6"/>
  <c r="F12" i="6"/>
  <c r="D15" i="6"/>
  <c r="H12" i="6"/>
  <c r="G12" i="6"/>
  <c r="E6" i="6"/>
  <c r="D24" i="6" l="1"/>
  <c r="C23" i="6"/>
  <c r="E24" i="6"/>
  <c r="F20" i="6"/>
  <c r="F15" i="6"/>
  <c r="G7" i="6"/>
  <c r="F6" i="6"/>
  <c r="E14" i="6"/>
  <c r="D16" i="6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AF14" i="10"/>
  <c r="G20" i="6" l="1"/>
  <c r="F24" i="6"/>
  <c r="G6" i="6"/>
  <c r="F14" i="6"/>
  <c r="H7" i="6"/>
  <c r="G15" i="6"/>
  <c r="I14" i="10"/>
  <c r="I15" i="10" s="1"/>
  <c r="Y14" i="10"/>
  <c r="Y15" i="10" s="1"/>
  <c r="Q14" i="10"/>
  <c r="Q15" i="10" s="1"/>
  <c r="AG14" i="10"/>
  <c r="AG15" i="10" s="1"/>
  <c r="S14" i="10"/>
  <c r="S15" i="10" s="1"/>
  <c r="R14" i="10"/>
  <c r="R15" i="10" s="1"/>
  <c r="L14" i="10"/>
  <c r="L15" i="10" s="1"/>
  <c r="T14" i="10"/>
  <c r="T15" i="10" s="1"/>
  <c r="AB14" i="10"/>
  <c r="AB15" i="10" s="1"/>
  <c r="Z14" i="10"/>
  <c r="Z15" i="10" s="1"/>
  <c r="E14" i="10"/>
  <c r="E15" i="10" s="1"/>
  <c r="M14" i="10"/>
  <c r="M15" i="10" s="1"/>
  <c r="U14" i="10"/>
  <c r="U15" i="10" s="1"/>
  <c r="AC14" i="10"/>
  <c r="AC15" i="10" s="1"/>
  <c r="AA14" i="10"/>
  <c r="AA15" i="10" s="1"/>
  <c r="F14" i="10"/>
  <c r="F15" i="10" s="1"/>
  <c r="N14" i="10"/>
  <c r="N15" i="10" s="1"/>
  <c r="V14" i="10"/>
  <c r="V15" i="10" s="1"/>
  <c r="AD14" i="10"/>
  <c r="AD15" i="10" s="1"/>
  <c r="J14" i="10"/>
  <c r="J15" i="10" s="1"/>
  <c r="K14" i="10"/>
  <c r="K15" i="10" s="1"/>
  <c r="G14" i="10"/>
  <c r="G15" i="10" s="1"/>
  <c r="O14" i="10"/>
  <c r="O15" i="10" s="1"/>
  <c r="W14" i="10"/>
  <c r="W15" i="10" s="1"/>
  <c r="AE14" i="10"/>
  <c r="AE15" i="10" s="1"/>
  <c r="D14" i="10"/>
  <c r="D15" i="10" s="1"/>
  <c r="H14" i="10"/>
  <c r="H15" i="10" s="1"/>
  <c r="P14" i="10"/>
  <c r="P15" i="10" s="1"/>
  <c r="X14" i="10"/>
  <c r="X15" i="10" s="1"/>
  <c r="AF15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D13" i="10" s="1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AG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AG34" i="8"/>
  <c r="C34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 s="1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 s="1"/>
  <c r="C17" i="7"/>
  <c r="C16" i="7"/>
  <c r="E16" i="5"/>
  <c r="F16" i="5" s="1"/>
  <c r="G15" i="5"/>
  <c r="C22" i="3"/>
  <c r="C20" i="3"/>
  <c r="E21" i="3"/>
  <c r="H20" i="6" l="1"/>
  <c r="G24" i="6"/>
  <c r="G32" i="9" s="1"/>
  <c r="I7" i="6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AG7" i="6" s="1"/>
  <c r="H15" i="6"/>
  <c r="H6" i="6"/>
  <c r="G14" i="6"/>
  <c r="C14" i="10"/>
  <c r="C1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C21" i="6"/>
  <c r="F32" i="9"/>
  <c r="C22" i="6"/>
  <c r="D32" i="9"/>
  <c r="E32" i="9"/>
  <c r="G17" i="5"/>
  <c r="N23" i="3"/>
  <c r="M23" i="3"/>
  <c r="L23" i="3"/>
  <c r="K23" i="3"/>
  <c r="J23" i="3"/>
  <c r="D23" i="3"/>
  <c r="C65" i="1"/>
  <c r="C64" i="1" s="1"/>
  <c r="C45" i="1" s="1"/>
  <c r="E6" i="5"/>
  <c r="F6" i="5" s="1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G11" i="8"/>
  <c r="H12" i="7"/>
  <c r="AG6" i="7"/>
  <c r="AA6" i="7"/>
  <c r="Y6" i="7"/>
  <c r="S6" i="7"/>
  <c r="Q6" i="7"/>
  <c r="K6" i="7"/>
  <c r="I6" i="7"/>
  <c r="C4" i="3"/>
  <c r="G5" i="5" s="1"/>
  <c r="C5" i="3"/>
  <c r="G6" i="5" s="1"/>
  <c r="C6" i="3"/>
  <c r="E7" i="3"/>
  <c r="F7" i="3"/>
  <c r="G7" i="3"/>
  <c r="H7" i="3"/>
  <c r="I7" i="3"/>
  <c r="J7" i="3"/>
  <c r="K7" i="3"/>
  <c r="L7" i="3"/>
  <c r="M7" i="3"/>
  <c r="N7" i="3"/>
  <c r="D7" i="3"/>
  <c r="C3" i="3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F11" i="8"/>
  <c r="D11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E11" i="5"/>
  <c r="F11" i="5" s="1"/>
  <c r="N15" i="3"/>
  <c r="M15" i="3"/>
  <c r="L15" i="3"/>
  <c r="K15" i="3"/>
  <c r="J15" i="3"/>
  <c r="D15" i="3"/>
  <c r="C14" i="3"/>
  <c r="C12" i="3"/>
  <c r="C9" i="3"/>
  <c r="I20" i="6" l="1"/>
  <c r="H24" i="6"/>
  <c r="H32" i="9" s="1"/>
  <c r="C7" i="6"/>
  <c r="I6" i="6"/>
  <c r="J6" i="6" s="1"/>
  <c r="K6" i="6" s="1"/>
  <c r="L6" i="6" s="1"/>
  <c r="M6" i="6" s="1"/>
  <c r="N6" i="6" s="1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Z6" i="6" s="1"/>
  <c r="AA6" i="6" s="1"/>
  <c r="AB6" i="6" s="1"/>
  <c r="AC6" i="6" s="1"/>
  <c r="AD6" i="6" s="1"/>
  <c r="AE6" i="6" s="1"/>
  <c r="AF6" i="6" s="1"/>
  <c r="AG6" i="6" s="1"/>
  <c r="H14" i="6"/>
  <c r="C4" i="10"/>
  <c r="D5" i="10"/>
  <c r="C5" i="10" s="1"/>
  <c r="AA11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I20" i="8"/>
  <c r="I20" i="9"/>
  <c r="J20" i="8"/>
  <c r="J20" i="9"/>
  <c r="K20" i="8"/>
  <c r="K20" i="9"/>
  <c r="L20" i="8"/>
  <c r="L20" i="9"/>
  <c r="M20" i="8"/>
  <c r="M20" i="9"/>
  <c r="M9" i="8"/>
  <c r="M9" i="9"/>
  <c r="L9" i="8"/>
  <c r="L9" i="9"/>
  <c r="K9" i="8"/>
  <c r="K9" i="9"/>
  <c r="J9" i="8"/>
  <c r="J9" i="9"/>
  <c r="I9" i="8"/>
  <c r="I9" i="9"/>
  <c r="H9" i="8"/>
  <c r="H9" i="9"/>
  <c r="G9" i="8"/>
  <c r="G9" i="9"/>
  <c r="F9" i="8"/>
  <c r="F9" i="9"/>
  <c r="E9" i="8"/>
  <c r="E9" i="9"/>
  <c r="D9" i="8"/>
  <c r="D9" i="9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H22" i="8"/>
  <c r="H22" i="9"/>
  <c r="I22" i="8"/>
  <c r="I22" i="9"/>
  <c r="J22" i="8"/>
  <c r="J22" i="9"/>
  <c r="K22" i="8"/>
  <c r="K22" i="9"/>
  <c r="L22" i="8"/>
  <c r="L22" i="9"/>
  <c r="M22" i="8"/>
  <c r="M22" i="9"/>
  <c r="N22" i="8"/>
  <c r="N22" i="9"/>
  <c r="O22" i="8"/>
  <c r="O22" i="9"/>
  <c r="P22" i="8"/>
  <c r="P22" i="9"/>
  <c r="Q22" i="8"/>
  <c r="Q22" i="9"/>
  <c r="R22" i="8"/>
  <c r="R22" i="9"/>
  <c r="S22" i="8"/>
  <c r="S22" i="9"/>
  <c r="T22" i="8"/>
  <c r="T22" i="9"/>
  <c r="U22" i="8"/>
  <c r="U22" i="9"/>
  <c r="V22" i="8"/>
  <c r="V22" i="9"/>
  <c r="W22" i="8"/>
  <c r="W22" i="9"/>
  <c r="X22" i="8"/>
  <c r="X22" i="9"/>
  <c r="Y22" i="8"/>
  <c r="Y22" i="9"/>
  <c r="Z22" i="8"/>
  <c r="Z22" i="9"/>
  <c r="AA22" i="8"/>
  <c r="AA22" i="9"/>
  <c r="AB22" i="8"/>
  <c r="AB22" i="9"/>
  <c r="AC22" i="8"/>
  <c r="AC22" i="9"/>
  <c r="AD22" i="8"/>
  <c r="AD22" i="9"/>
  <c r="AE22" i="8"/>
  <c r="AE22" i="9"/>
  <c r="AF22" i="8"/>
  <c r="AF22" i="9"/>
  <c r="AG22" i="8"/>
  <c r="AG22" i="9"/>
  <c r="I31" i="9"/>
  <c r="I31" i="8"/>
  <c r="J31" i="9"/>
  <c r="J31" i="8"/>
  <c r="K31" i="9"/>
  <c r="K31" i="8"/>
  <c r="L31" i="9"/>
  <c r="L31" i="8"/>
  <c r="M31" i="9"/>
  <c r="M31" i="8"/>
  <c r="E32" i="8"/>
  <c r="D32" i="8"/>
  <c r="F32" i="8"/>
  <c r="G32" i="8"/>
  <c r="AA14" i="6"/>
  <c r="AD14" i="6"/>
  <c r="AB14" i="6"/>
  <c r="Z14" i="6"/>
  <c r="V14" i="6"/>
  <c r="T14" i="6"/>
  <c r="R14" i="6"/>
  <c r="N14" i="6"/>
  <c r="L14" i="6"/>
  <c r="J14" i="6"/>
  <c r="T19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C9" i="8"/>
  <c r="M14" i="6"/>
  <c r="U14" i="6"/>
  <c r="AC14" i="6"/>
  <c r="O14" i="6"/>
  <c r="W14" i="6"/>
  <c r="AE14" i="6"/>
  <c r="P14" i="6"/>
  <c r="X14" i="6"/>
  <c r="AF14" i="6"/>
  <c r="I14" i="6"/>
  <c r="Q14" i="6"/>
  <c r="Y14" i="6"/>
  <c r="AG14" i="6"/>
  <c r="K14" i="6"/>
  <c r="S14" i="6"/>
  <c r="G7" i="5"/>
  <c r="AD3" i="7"/>
  <c r="D6" i="7"/>
  <c r="L6" i="7"/>
  <c r="T6" i="7"/>
  <c r="AB6" i="7"/>
  <c r="D12" i="7"/>
  <c r="F12" i="7"/>
  <c r="F6" i="7"/>
  <c r="N6" i="7"/>
  <c r="V6" i="7"/>
  <c r="AD6" i="7"/>
  <c r="C10" i="7"/>
  <c r="AC6" i="7"/>
  <c r="F3" i="7"/>
  <c r="H6" i="7"/>
  <c r="P6" i="7"/>
  <c r="X6" i="7"/>
  <c r="AF6" i="7"/>
  <c r="G12" i="7"/>
  <c r="M6" i="7"/>
  <c r="H3" i="7"/>
  <c r="G6" i="7"/>
  <c r="O6" i="7"/>
  <c r="W6" i="7"/>
  <c r="AE6" i="7"/>
  <c r="U6" i="7"/>
  <c r="N3" i="7"/>
  <c r="J6" i="7"/>
  <c r="R6" i="7"/>
  <c r="Z6" i="7"/>
  <c r="P3" i="7"/>
  <c r="C11" i="7"/>
  <c r="C4" i="7"/>
  <c r="V3" i="7"/>
  <c r="C5" i="7"/>
  <c r="F9" i="7"/>
  <c r="E11" i="8"/>
  <c r="I3" i="7"/>
  <c r="Q3" i="7"/>
  <c r="Y3" i="7"/>
  <c r="AG3" i="7"/>
  <c r="E6" i="7"/>
  <c r="G9" i="7"/>
  <c r="O9" i="7"/>
  <c r="W9" i="7"/>
  <c r="AE9" i="7"/>
  <c r="E12" i="7"/>
  <c r="X3" i="7"/>
  <c r="N9" i="7"/>
  <c r="V9" i="7"/>
  <c r="AD9" i="7"/>
  <c r="J3" i="7"/>
  <c r="R3" i="7"/>
  <c r="Z3" i="7"/>
  <c r="H9" i="7"/>
  <c r="P9" i="7"/>
  <c r="X9" i="7"/>
  <c r="AF9" i="7"/>
  <c r="AF3" i="7"/>
  <c r="K3" i="7"/>
  <c r="S3" i="7"/>
  <c r="AA3" i="7"/>
  <c r="I9" i="7"/>
  <c r="Q9" i="7"/>
  <c r="Y9" i="7"/>
  <c r="AG9" i="7"/>
  <c r="T3" i="7"/>
  <c r="R9" i="7"/>
  <c r="L3" i="7"/>
  <c r="AB3" i="7"/>
  <c r="J9" i="7"/>
  <c r="Z9" i="7"/>
  <c r="E3" i="7"/>
  <c r="M3" i="7"/>
  <c r="U3" i="7"/>
  <c r="AC3" i="7"/>
  <c r="K9" i="7"/>
  <c r="S9" i="7"/>
  <c r="AA9" i="7"/>
  <c r="L9" i="7"/>
  <c r="D9" i="7"/>
  <c r="D15" i="7" s="1"/>
  <c r="T9" i="7"/>
  <c r="AB9" i="7"/>
  <c r="G3" i="7"/>
  <c r="O3" i="7"/>
  <c r="W3" i="7"/>
  <c r="AE3" i="7"/>
  <c r="E9" i="7"/>
  <c r="M9" i="7"/>
  <c r="U9" i="7"/>
  <c r="AC9" i="7"/>
  <c r="C7" i="3"/>
  <c r="AB19" i="8"/>
  <c r="L19" i="8"/>
  <c r="T3" i="6"/>
  <c r="U3" i="6"/>
  <c r="O11" i="6"/>
  <c r="W11" i="6"/>
  <c r="AE11" i="6"/>
  <c r="F3" i="6"/>
  <c r="N3" i="6"/>
  <c r="V3" i="6"/>
  <c r="AD3" i="6"/>
  <c r="H11" i="6"/>
  <c r="P11" i="6"/>
  <c r="X11" i="6"/>
  <c r="AF11" i="6"/>
  <c r="M3" i="6"/>
  <c r="AC3" i="6"/>
  <c r="G11" i="6"/>
  <c r="G3" i="6"/>
  <c r="O3" i="6"/>
  <c r="W3" i="6"/>
  <c r="AE3" i="6"/>
  <c r="I11" i="6"/>
  <c r="Q11" i="6"/>
  <c r="Y11" i="6"/>
  <c r="AG11" i="6"/>
  <c r="E3" i="6"/>
  <c r="X3" i="6"/>
  <c r="J11" i="6"/>
  <c r="I3" i="6"/>
  <c r="Q3" i="6"/>
  <c r="Y3" i="6"/>
  <c r="AG3" i="6"/>
  <c r="K11" i="6"/>
  <c r="S11" i="6"/>
  <c r="H3" i="6"/>
  <c r="AF3" i="6"/>
  <c r="Z11" i="6"/>
  <c r="J3" i="6"/>
  <c r="R3" i="6"/>
  <c r="Z3" i="6"/>
  <c r="D11" i="6"/>
  <c r="D19" i="6" s="1"/>
  <c r="L11" i="6"/>
  <c r="T11" i="6"/>
  <c r="AB11" i="6"/>
  <c r="AB3" i="6"/>
  <c r="P3" i="6"/>
  <c r="R11" i="6"/>
  <c r="K3" i="6"/>
  <c r="S3" i="6"/>
  <c r="AA3" i="6"/>
  <c r="E11" i="6"/>
  <c r="M11" i="6"/>
  <c r="U11" i="6"/>
  <c r="AC11" i="6"/>
  <c r="AA19" i="8"/>
  <c r="S19" i="8"/>
  <c r="K19" i="8"/>
  <c r="Z19" i="8"/>
  <c r="R19" i="8"/>
  <c r="J19" i="8"/>
  <c r="AG19" i="8"/>
  <c r="Y19" i="8"/>
  <c r="Q19" i="8"/>
  <c r="I19" i="8"/>
  <c r="AF19" i="8"/>
  <c r="X19" i="8"/>
  <c r="P19" i="8"/>
  <c r="H19" i="8"/>
  <c r="AE19" i="8"/>
  <c r="W19" i="8"/>
  <c r="O19" i="8"/>
  <c r="G19" i="8"/>
  <c r="AD19" i="8"/>
  <c r="V19" i="8"/>
  <c r="N19" i="8"/>
  <c r="F19" i="8"/>
  <c r="AC19" i="8"/>
  <c r="U19" i="8"/>
  <c r="M19" i="8"/>
  <c r="E19" i="8"/>
  <c r="L3" i="6"/>
  <c r="F11" i="6"/>
  <c r="N11" i="6"/>
  <c r="V11" i="6"/>
  <c r="AD11" i="6"/>
  <c r="H32" i="8" l="1"/>
  <c r="J20" i="6"/>
  <c r="I24" i="6"/>
  <c r="E22" i="8"/>
  <c r="E22" i="9"/>
  <c r="C11" i="8"/>
  <c r="G22" i="8"/>
  <c r="G22" i="9"/>
  <c r="F22" i="8"/>
  <c r="F22" i="9"/>
  <c r="D22" i="8"/>
  <c r="D22" i="9"/>
  <c r="AG12" i="8"/>
  <c r="AG12" i="9"/>
  <c r="C22" i="8"/>
  <c r="C14" i="6"/>
  <c r="C6" i="6"/>
  <c r="C6" i="7"/>
  <c r="C12" i="7"/>
  <c r="I35" i="9" l="1"/>
  <c r="C35" i="9" s="1"/>
  <c r="I32" i="8"/>
  <c r="K20" i="6"/>
  <c r="J24" i="6"/>
  <c r="C12" i="8"/>
  <c r="J32" i="9" l="1"/>
  <c r="J35" i="9" s="1"/>
  <c r="J32" i="8"/>
  <c r="L20" i="6"/>
  <c r="K24" i="6"/>
  <c r="I35" i="8"/>
  <c r="E5" i="6"/>
  <c r="E8" i="6" s="1"/>
  <c r="C47" i="1"/>
  <c r="C37" i="1"/>
  <c r="J35" i="8" l="1"/>
  <c r="K32" i="9"/>
  <c r="K35" i="9" s="1"/>
  <c r="K32" i="8"/>
  <c r="M20" i="6"/>
  <c r="L24" i="6"/>
  <c r="F5" i="6"/>
  <c r="E13" i="6"/>
  <c r="D8" i="6"/>
  <c r="D10" i="9" s="1"/>
  <c r="H7" i="5"/>
  <c r="H17" i="5"/>
  <c r="C12" i="6"/>
  <c r="E10" i="9"/>
  <c r="C4" i="6"/>
  <c r="C44" i="1"/>
  <c r="C48" i="1" s="1"/>
  <c r="C39" i="1"/>
  <c r="L32" i="9" l="1"/>
  <c r="L35" i="9" s="1"/>
  <c r="L32" i="8"/>
  <c r="N20" i="6"/>
  <c r="M24" i="6"/>
  <c r="K35" i="8"/>
  <c r="E16" i="6"/>
  <c r="G5" i="6"/>
  <c r="F13" i="6"/>
  <c r="F16" i="6" s="1"/>
  <c r="F8" i="6"/>
  <c r="F10" i="9" s="1"/>
  <c r="F13" i="9" s="1"/>
  <c r="D10" i="8"/>
  <c r="D13" i="8" s="1"/>
  <c r="E10" i="8"/>
  <c r="E13" i="9"/>
  <c r="D21" i="8"/>
  <c r="D13" i="9"/>
  <c r="C40" i="1"/>
  <c r="C13" i="3" l="1"/>
  <c r="C57" i="1"/>
  <c r="E13" i="8"/>
  <c r="L35" i="8"/>
  <c r="M32" i="9"/>
  <c r="M35" i="9" s="1"/>
  <c r="M32" i="8"/>
  <c r="O20" i="6"/>
  <c r="N24" i="6"/>
  <c r="F10" i="8"/>
  <c r="F21" i="8"/>
  <c r="H5" i="6"/>
  <c r="G13" i="6"/>
  <c r="G16" i="6" s="1"/>
  <c r="G8" i="6"/>
  <c r="E21" i="8"/>
  <c r="I21" i="3"/>
  <c r="I23" i="3" s="1"/>
  <c r="H21" i="3"/>
  <c r="H23" i="3" s="1"/>
  <c r="G21" i="3"/>
  <c r="G23" i="3" s="1"/>
  <c r="F21" i="3"/>
  <c r="E19" i="3"/>
  <c r="C19" i="3" s="1"/>
  <c r="G11" i="5"/>
  <c r="H11" i="5" s="1"/>
  <c r="H12" i="5" s="1"/>
  <c r="G13" i="3"/>
  <c r="G15" i="3" s="1"/>
  <c r="F13" i="3"/>
  <c r="F15" i="3" s="1"/>
  <c r="E11" i="3"/>
  <c r="E15" i="3" s="1"/>
  <c r="I13" i="3"/>
  <c r="I15" i="3" s="1"/>
  <c r="H13" i="3"/>
  <c r="H15" i="3" s="1"/>
  <c r="F13" i="8" l="1"/>
  <c r="Z9" i="10"/>
  <c r="Z10" i="10" s="1"/>
  <c r="K9" i="10"/>
  <c r="K10" i="10" s="1"/>
  <c r="S9" i="10"/>
  <c r="S10" i="10" s="1"/>
  <c r="AA9" i="10"/>
  <c r="AA10" i="10" s="1"/>
  <c r="L9" i="10"/>
  <c r="L10" i="10" s="1"/>
  <c r="T9" i="10"/>
  <c r="T10" i="10" s="1"/>
  <c r="AB9" i="10"/>
  <c r="AB10" i="10" s="1"/>
  <c r="E9" i="10"/>
  <c r="M9" i="10"/>
  <c r="M10" i="10" s="1"/>
  <c r="U9" i="10"/>
  <c r="U10" i="10" s="1"/>
  <c r="AC9" i="10"/>
  <c r="AC10" i="10" s="1"/>
  <c r="F9" i="10"/>
  <c r="N9" i="10"/>
  <c r="N10" i="10" s="1"/>
  <c r="V9" i="10"/>
  <c r="V10" i="10" s="1"/>
  <c r="AD9" i="10"/>
  <c r="AD10" i="10" s="1"/>
  <c r="D9" i="10"/>
  <c r="G9" i="10"/>
  <c r="G10" i="10" s="1"/>
  <c r="O9" i="10"/>
  <c r="O10" i="10" s="1"/>
  <c r="W9" i="10"/>
  <c r="W10" i="10" s="1"/>
  <c r="AE9" i="10"/>
  <c r="AE10" i="10" s="1"/>
  <c r="H9" i="10"/>
  <c r="H10" i="10" s="1"/>
  <c r="P9" i="10"/>
  <c r="P10" i="10" s="1"/>
  <c r="X9" i="10"/>
  <c r="X10" i="10" s="1"/>
  <c r="AF9" i="10"/>
  <c r="AF10" i="10" s="1"/>
  <c r="I9" i="10"/>
  <c r="I10" i="10" s="1"/>
  <c r="Q9" i="10"/>
  <c r="Q10" i="10" s="1"/>
  <c r="Y9" i="10"/>
  <c r="Y10" i="10" s="1"/>
  <c r="AG9" i="10"/>
  <c r="AG10" i="10" s="1"/>
  <c r="J9" i="10"/>
  <c r="J10" i="10" s="1"/>
  <c r="R9" i="10"/>
  <c r="R10" i="10" s="1"/>
  <c r="C58" i="1"/>
  <c r="I15" i="6" s="1"/>
  <c r="N32" i="9"/>
  <c r="N35" i="9" s="1"/>
  <c r="N32" i="8"/>
  <c r="P20" i="6"/>
  <c r="O24" i="6"/>
  <c r="M35" i="8"/>
  <c r="I5" i="6"/>
  <c r="H13" i="6"/>
  <c r="H8" i="6"/>
  <c r="G10" i="9"/>
  <c r="G13" i="9" s="1"/>
  <c r="G10" i="8"/>
  <c r="G21" i="9"/>
  <c r="G21" i="8"/>
  <c r="G20" i="8"/>
  <c r="G20" i="9"/>
  <c r="H20" i="8"/>
  <c r="H20" i="9"/>
  <c r="D20" i="8"/>
  <c r="D24" i="8" s="1"/>
  <c r="D20" i="9"/>
  <c r="E20" i="8"/>
  <c r="E24" i="8" s="1"/>
  <c r="E20" i="9"/>
  <c r="F20" i="8"/>
  <c r="F24" i="8" s="1"/>
  <c r="F20" i="9"/>
  <c r="F31" i="9"/>
  <c r="F35" i="9" s="1"/>
  <c r="F31" i="8"/>
  <c r="F35" i="8" s="1"/>
  <c r="G31" i="9"/>
  <c r="G35" i="9" s="1"/>
  <c r="G31" i="8"/>
  <c r="G35" i="8" s="1"/>
  <c r="H31" i="9"/>
  <c r="H35" i="9" s="1"/>
  <c r="H31" i="8"/>
  <c r="H35" i="8" s="1"/>
  <c r="F23" i="3"/>
  <c r="C21" i="3"/>
  <c r="G12" i="5"/>
  <c r="C11" i="3"/>
  <c r="E23" i="3"/>
  <c r="C15" i="3"/>
  <c r="C16" i="3" s="1"/>
  <c r="N35" i="8" l="1"/>
  <c r="J15" i="6"/>
  <c r="I16" i="6"/>
  <c r="C9" i="10"/>
  <c r="D10" i="10"/>
  <c r="D21" i="9"/>
  <c r="D24" i="9" s="1"/>
  <c r="F10" i="10"/>
  <c r="F21" i="9"/>
  <c r="F24" i="9" s="1"/>
  <c r="E10" i="10"/>
  <c r="E21" i="9"/>
  <c r="E24" i="9" s="1"/>
  <c r="O32" i="9"/>
  <c r="O35" i="9" s="1"/>
  <c r="O32" i="8"/>
  <c r="Q20" i="6"/>
  <c r="P24" i="6"/>
  <c r="G13" i="8"/>
  <c r="G24" i="9"/>
  <c r="H10" i="9"/>
  <c r="H13" i="9" s="1"/>
  <c r="H10" i="8"/>
  <c r="G24" i="8"/>
  <c r="H16" i="6"/>
  <c r="C13" i="6"/>
  <c r="J5" i="6"/>
  <c r="I8" i="6"/>
  <c r="C20" i="8"/>
  <c r="D31" i="9"/>
  <c r="D31" i="8"/>
  <c r="AG23" i="8"/>
  <c r="AG23" i="9"/>
  <c r="C23" i="9" s="1"/>
  <c r="E31" i="9"/>
  <c r="E35" i="9" s="1"/>
  <c r="E31" i="8"/>
  <c r="E35" i="8" s="1"/>
  <c r="C23" i="3"/>
  <c r="H13" i="8" l="1"/>
  <c r="C10" i="10"/>
  <c r="I24" i="9"/>
  <c r="I21" i="8"/>
  <c r="I24" i="8" s="1"/>
  <c r="K15" i="6"/>
  <c r="J16" i="6"/>
  <c r="P32" i="9"/>
  <c r="P35" i="9" s="1"/>
  <c r="P32" i="8"/>
  <c r="R20" i="6"/>
  <c r="Q24" i="6"/>
  <c r="O35" i="8"/>
  <c r="K5" i="6"/>
  <c r="J8" i="6"/>
  <c r="I13" i="9"/>
  <c r="C13" i="9" s="1"/>
  <c r="I10" i="8"/>
  <c r="H21" i="9"/>
  <c r="H24" i="9" s="1"/>
  <c r="H21" i="8"/>
  <c r="C23" i="8"/>
  <c r="C31" i="8"/>
  <c r="D35" i="8"/>
  <c r="D35" i="9"/>
  <c r="I13" i="8" l="1"/>
  <c r="P35" i="8"/>
  <c r="J21" i="9"/>
  <c r="J24" i="9" s="1"/>
  <c r="J21" i="8"/>
  <c r="L15" i="6"/>
  <c r="K16" i="6"/>
  <c r="S20" i="6"/>
  <c r="R24" i="6"/>
  <c r="Q32" i="9"/>
  <c r="Q35" i="9" s="1"/>
  <c r="Q32" i="8"/>
  <c r="H24" i="8"/>
  <c r="J10" i="9"/>
  <c r="J13" i="9" s="1"/>
  <c r="J10" i="8"/>
  <c r="L5" i="6"/>
  <c r="K8" i="6"/>
  <c r="K21" i="8" l="1"/>
  <c r="K21" i="9"/>
  <c r="K24" i="9" s="1"/>
  <c r="M15" i="6"/>
  <c r="L16" i="6"/>
  <c r="J24" i="8"/>
  <c r="Q35" i="8"/>
  <c r="T20" i="6"/>
  <c r="S24" i="6"/>
  <c r="R32" i="9"/>
  <c r="R35" i="9" s="1"/>
  <c r="R32" i="8"/>
  <c r="J13" i="8"/>
  <c r="M5" i="6"/>
  <c r="L8" i="6"/>
  <c r="K10" i="9"/>
  <c r="K13" i="9" s="1"/>
  <c r="K10" i="8"/>
  <c r="K13" i="8" l="1"/>
  <c r="R35" i="8"/>
  <c r="L21" i="9"/>
  <c r="L24" i="9" s="1"/>
  <c r="L21" i="8"/>
  <c r="N15" i="6"/>
  <c r="M16" i="6"/>
  <c r="K24" i="8"/>
  <c r="S32" i="9"/>
  <c r="S35" i="9" s="1"/>
  <c r="S32" i="8"/>
  <c r="U20" i="6"/>
  <c r="T24" i="6"/>
  <c r="L10" i="9"/>
  <c r="L13" i="9" s="1"/>
  <c r="L10" i="8"/>
  <c r="N5" i="6"/>
  <c r="M8" i="6"/>
  <c r="S35" i="8" l="1"/>
  <c r="M21" i="9"/>
  <c r="M24" i="9" s="1"/>
  <c r="M21" i="8"/>
  <c r="O15" i="6"/>
  <c r="N16" i="6"/>
  <c r="L24" i="8"/>
  <c r="T32" i="9"/>
  <c r="T35" i="9" s="1"/>
  <c r="T32" i="8"/>
  <c r="V20" i="6"/>
  <c r="U24" i="6"/>
  <c r="M10" i="9"/>
  <c r="M13" i="9" s="1"/>
  <c r="M10" i="8"/>
  <c r="O5" i="6"/>
  <c r="N8" i="6"/>
  <c r="L13" i="8"/>
  <c r="T35" i="8" l="1"/>
  <c r="N21" i="8"/>
  <c r="N21" i="9"/>
  <c r="N24" i="9" s="1"/>
  <c r="P15" i="6"/>
  <c r="O16" i="6"/>
  <c r="M24" i="8"/>
  <c r="U32" i="9"/>
  <c r="U35" i="9" s="1"/>
  <c r="U32" i="8"/>
  <c r="W20" i="6"/>
  <c r="V24" i="6"/>
  <c r="N10" i="9"/>
  <c r="N13" i="9" s="1"/>
  <c r="N10" i="8"/>
  <c r="P5" i="6"/>
  <c r="O8" i="6"/>
  <c r="M13" i="8"/>
  <c r="U35" i="8" l="1"/>
  <c r="O21" i="9"/>
  <c r="O24" i="9" s="1"/>
  <c r="O21" i="8"/>
  <c r="Q15" i="6"/>
  <c r="P16" i="6"/>
  <c r="N24" i="8"/>
  <c r="V32" i="9"/>
  <c r="V35" i="9" s="1"/>
  <c r="V32" i="8"/>
  <c r="X20" i="6"/>
  <c r="W24" i="6"/>
  <c r="O10" i="9"/>
  <c r="O13" i="9" s="1"/>
  <c r="O10" i="8"/>
  <c r="Q5" i="6"/>
  <c r="P8" i="6"/>
  <c r="N13" i="8"/>
  <c r="O13" i="8" l="1"/>
  <c r="V35" i="8"/>
  <c r="P21" i="9"/>
  <c r="P24" i="9" s="1"/>
  <c r="P21" i="8"/>
  <c r="R15" i="6"/>
  <c r="Q16" i="6"/>
  <c r="O24" i="8"/>
  <c r="W32" i="9"/>
  <c r="W35" i="9" s="1"/>
  <c r="W32" i="8"/>
  <c r="Y20" i="6"/>
  <c r="X24" i="6"/>
  <c r="P10" i="9"/>
  <c r="P13" i="9" s="1"/>
  <c r="P10" i="8"/>
  <c r="R5" i="6"/>
  <c r="Q8" i="6"/>
  <c r="P13" i="8" l="1"/>
  <c r="W35" i="8"/>
  <c r="Q21" i="9"/>
  <c r="Q24" i="9" s="1"/>
  <c r="Q21" i="8"/>
  <c r="S15" i="6"/>
  <c r="R16" i="6"/>
  <c r="P24" i="8"/>
  <c r="X32" i="9"/>
  <c r="X35" i="9" s="1"/>
  <c r="X32" i="8"/>
  <c r="Z20" i="6"/>
  <c r="Y24" i="6"/>
  <c r="Q10" i="9"/>
  <c r="Q13" i="9" s="1"/>
  <c r="Q10" i="8"/>
  <c r="S5" i="6"/>
  <c r="R8" i="6"/>
  <c r="Q13" i="8" l="1"/>
  <c r="X35" i="8"/>
  <c r="R21" i="9"/>
  <c r="R24" i="9" s="1"/>
  <c r="R21" i="8"/>
  <c r="T15" i="6"/>
  <c r="S16" i="6"/>
  <c r="Q24" i="8"/>
  <c r="Y32" i="9"/>
  <c r="Y35" i="9" s="1"/>
  <c r="Y32" i="8"/>
  <c r="AA20" i="6"/>
  <c r="Z24" i="6"/>
  <c r="R10" i="8"/>
  <c r="R10" i="9"/>
  <c r="R13" i="9" s="1"/>
  <c r="T5" i="6"/>
  <c r="S8" i="6"/>
  <c r="R13" i="8" l="1"/>
  <c r="Y35" i="8"/>
  <c r="S21" i="9"/>
  <c r="S24" i="9" s="1"/>
  <c r="S21" i="8"/>
  <c r="U15" i="6"/>
  <c r="T16" i="6"/>
  <c r="R24" i="8"/>
  <c r="Z32" i="9"/>
  <c r="Z35" i="9" s="1"/>
  <c r="Z32" i="8"/>
  <c r="AB20" i="6"/>
  <c r="AA24" i="6"/>
  <c r="S10" i="9"/>
  <c r="S13" i="9" s="1"/>
  <c r="S10" i="8"/>
  <c r="U5" i="6"/>
  <c r="T8" i="6"/>
  <c r="S13" i="8" l="1"/>
  <c r="Z35" i="8"/>
  <c r="T21" i="8"/>
  <c r="T21" i="9"/>
  <c r="T24" i="9" s="1"/>
  <c r="V15" i="6"/>
  <c r="U16" i="6"/>
  <c r="S24" i="8"/>
  <c r="AA32" i="9"/>
  <c r="AA35" i="9" s="1"/>
  <c r="AA32" i="8"/>
  <c r="AC20" i="6"/>
  <c r="AB24" i="6"/>
  <c r="V5" i="6"/>
  <c r="U8" i="6"/>
  <c r="T10" i="9"/>
  <c r="T13" i="9" s="1"/>
  <c r="T10" i="8"/>
  <c r="T13" i="8" l="1"/>
  <c r="AA35" i="8"/>
  <c r="U21" i="9"/>
  <c r="U24" i="9" s="1"/>
  <c r="U21" i="8"/>
  <c r="W15" i="6"/>
  <c r="V16" i="6"/>
  <c r="T24" i="8"/>
  <c r="AB32" i="9"/>
  <c r="AB35" i="9" s="1"/>
  <c r="AB32" i="8"/>
  <c r="AD20" i="6"/>
  <c r="AC24" i="6"/>
  <c r="U10" i="9"/>
  <c r="U13" i="9" s="1"/>
  <c r="U10" i="8"/>
  <c r="W5" i="6"/>
  <c r="V8" i="6"/>
  <c r="U13" i="8" l="1"/>
  <c r="AB35" i="8"/>
  <c r="V21" i="9"/>
  <c r="V24" i="9" s="1"/>
  <c r="V21" i="8"/>
  <c r="X15" i="6"/>
  <c r="W16" i="6"/>
  <c r="U24" i="8"/>
  <c r="AC32" i="9"/>
  <c r="AC35" i="9" s="1"/>
  <c r="AC32" i="8"/>
  <c r="AE20" i="6"/>
  <c r="AD24" i="6"/>
  <c r="V10" i="9"/>
  <c r="V13" i="9" s="1"/>
  <c r="V10" i="8"/>
  <c r="X5" i="6"/>
  <c r="W8" i="6"/>
  <c r="V13" i="8" l="1"/>
  <c r="AC35" i="8"/>
  <c r="W21" i="8"/>
  <c r="W21" i="9"/>
  <c r="W24" i="9" s="1"/>
  <c r="Y15" i="6"/>
  <c r="X16" i="6"/>
  <c r="V24" i="8"/>
  <c r="AD32" i="9"/>
  <c r="AD35" i="9" s="1"/>
  <c r="AD32" i="8"/>
  <c r="AF20" i="6"/>
  <c r="AE24" i="6"/>
  <c r="W10" i="9"/>
  <c r="W13" i="9" s="1"/>
  <c r="W10" i="8"/>
  <c r="Y5" i="6"/>
  <c r="X8" i="6"/>
  <c r="W13" i="8" l="1"/>
  <c r="AD35" i="8"/>
  <c r="X21" i="9"/>
  <c r="X24" i="9" s="1"/>
  <c r="X21" i="8"/>
  <c r="Z15" i="6"/>
  <c r="Y16" i="6"/>
  <c r="W24" i="8"/>
  <c r="AE32" i="9"/>
  <c r="AE35" i="9" s="1"/>
  <c r="AE32" i="8"/>
  <c r="AG20" i="6"/>
  <c r="AF24" i="6"/>
  <c r="X10" i="9"/>
  <c r="X13" i="9" s="1"/>
  <c r="X10" i="8"/>
  <c r="Z5" i="6"/>
  <c r="Y8" i="6"/>
  <c r="X13" i="8" l="1"/>
  <c r="AE35" i="8"/>
  <c r="Y21" i="9"/>
  <c r="Y24" i="9" s="1"/>
  <c r="Y21" i="8"/>
  <c r="AA15" i="6"/>
  <c r="Z16" i="6"/>
  <c r="X24" i="8"/>
  <c r="AF32" i="9"/>
  <c r="AF35" i="9" s="1"/>
  <c r="AF32" i="8"/>
  <c r="AG24" i="6"/>
  <c r="C20" i="6"/>
  <c r="Y10" i="9"/>
  <c r="Y13" i="9" s="1"/>
  <c r="Y10" i="8"/>
  <c r="AA5" i="6"/>
  <c r="Z8" i="6"/>
  <c r="Y13" i="8" l="1"/>
  <c r="AF35" i="8"/>
  <c r="Z21" i="9"/>
  <c r="Z24" i="9" s="1"/>
  <c r="Z21" i="8"/>
  <c r="AB15" i="6"/>
  <c r="AA16" i="6"/>
  <c r="Y24" i="8"/>
  <c r="AG32" i="9"/>
  <c r="AG35" i="9" s="1"/>
  <c r="AG32" i="8"/>
  <c r="C24" i="6"/>
  <c r="Z10" i="9"/>
  <c r="Z13" i="9" s="1"/>
  <c r="Z10" i="8"/>
  <c r="AB5" i="6"/>
  <c r="AA8" i="6"/>
  <c r="Z13" i="8" l="1"/>
  <c r="AA21" i="8"/>
  <c r="AA21" i="9"/>
  <c r="AA24" i="9" s="1"/>
  <c r="AC15" i="6"/>
  <c r="AB16" i="6"/>
  <c r="Z24" i="8"/>
  <c r="AG35" i="8"/>
  <c r="C37" i="9"/>
  <c r="C4" i="9" s="1"/>
  <c r="C32" i="8"/>
  <c r="C37" i="8" s="1"/>
  <c r="C4" i="8" s="1"/>
  <c r="AA10" i="9"/>
  <c r="AA13" i="9" s="1"/>
  <c r="AA10" i="8"/>
  <c r="AC5" i="6"/>
  <c r="AB8" i="6"/>
  <c r="AA13" i="8" l="1"/>
  <c r="AB21" i="9"/>
  <c r="AB24" i="9" s="1"/>
  <c r="AB21" i="8"/>
  <c r="AD15" i="6"/>
  <c r="AC16" i="6"/>
  <c r="AA24" i="8"/>
  <c r="C35" i="8"/>
  <c r="AB10" i="9"/>
  <c r="AB13" i="9" s="1"/>
  <c r="AB10" i="8"/>
  <c r="AD5" i="6"/>
  <c r="AC8" i="6"/>
  <c r="AB13" i="8" l="1"/>
  <c r="AC21" i="9"/>
  <c r="AC24" i="9" s="1"/>
  <c r="AC21" i="8"/>
  <c r="AE15" i="6"/>
  <c r="AD16" i="6"/>
  <c r="AB24" i="8"/>
  <c r="AC10" i="9"/>
  <c r="AC13" i="9" s="1"/>
  <c r="AC10" i="8"/>
  <c r="AE5" i="6"/>
  <c r="AD8" i="6"/>
  <c r="AC13" i="8" l="1"/>
  <c r="AD21" i="8"/>
  <c r="AD21" i="9"/>
  <c r="AD24" i="9" s="1"/>
  <c r="AF15" i="6"/>
  <c r="AE16" i="6"/>
  <c r="AC24" i="8"/>
  <c r="AD10" i="9"/>
  <c r="AD13" i="9" s="1"/>
  <c r="AD10" i="8"/>
  <c r="AF5" i="6"/>
  <c r="AE8" i="6"/>
  <c r="AD13" i="8" l="1"/>
  <c r="AE21" i="9"/>
  <c r="AE24" i="9" s="1"/>
  <c r="AE21" i="8"/>
  <c r="AG15" i="6"/>
  <c r="AF16" i="6"/>
  <c r="AD24" i="8"/>
  <c r="AE10" i="9"/>
  <c r="AE13" i="9" s="1"/>
  <c r="AE10" i="8"/>
  <c r="AG5" i="6"/>
  <c r="AF8" i="6"/>
  <c r="AE13" i="8" l="1"/>
  <c r="AF21" i="8"/>
  <c r="AF21" i="9"/>
  <c r="AF24" i="9" s="1"/>
  <c r="AG16" i="6"/>
  <c r="C15" i="6"/>
  <c r="AE24" i="8"/>
  <c r="AF10" i="9"/>
  <c r="AF13" i="9" s="1"/>
  <c r="AF10" i="8"/>
  <c r="AG8" i="6"/>
  <c r="C5" i="6"/>
  <c r="AF13" i="8" l="1"/>
  <c r="AG21" i="9"/>
  <c r="AG24" i="9" s="1"/>
  <c r="C24" i="9" s="1"/>
  <c r="AG21" i="8"/>
  <c r="C16" i="6"/>
  <c r="AF24" i="8"/>
  <c r="C26" i="9"/>
  <c r="C3" i="9" s="1"/>
  <c r="AG10" i="9"/>
  <c r="AG13" i="9" s="1"/>
  <c r="AG10" i="8"/>
  <c r="C8" i="6"/>
  <c r="AG24" i="8" l="1"/>
  <c r="C21" i="8"/>
  <c r="C26" i="8" s="1"/>
  <c r="C3" i="8" s="1"/>
  <c r="AG13" i="8"/>
  <c r="C10" i="8"/>
  <c r="C15" i="8" s="1"/>
  <c r="C2" i="8" s="1"/>
  <c r="C15" i="9"/>
  <c r="C2" i="9" s="1"/>
  <c r="C24" i="8" l="1"/>
  <c r="C13" i="8"/>
</calcChain>
</file>

<file path=xl/sharedStrings.xml><?xml version="1.0" encoding="utf-8"?>
<sst xmlns="http://schemas.openxmlformats.org/spreadsheetml/2006/main" count="290" uniqueCount="114">
  <si>
    <t>Diskontná sadzba</t>
  </si>
  <si>
    <t>Finančná</t>
  </si>
  <si>
    <t>Ekonomická</t>
  </si>
  <si>
    <t>Agregovaný konverzný faktor</t>
  </si>
  <si>
    <t>Cena energie (plyn)</t>
  </si>
  <si>
    <t>eur/MWh</t>
  </si>
  <si>
    <t>Emisný faktor</t>
  </si>
  <si>
    <t>tCO2/MWh</t>
  </si>
  <si>
    <t>Spoločenské náklady emisií</t>
  </si>
  <si>
    <t>Jednotková cena tony CO2e</t>
  </si>
  <si>
    <t>CO2e (pre rok 2020 = 86 EUR/t)</t>
  </si>
  <si>
    <t>Variant 0 (status quo)</t>
  </si>
  <si>
    <t>Nájomné náklady</t>
  </si>
  <si>
    <t>Rozloha nájmu (administratívna plocha)</t>
  </si>
  <si>
    <t>m2</t>
  </si>
  <si>
    <t>Nájomné</t>
  </si>
  <si>
    <t>eur/m2</t>
  </si>
  <si>
    <t>Výška nájmu (ročná)</t>
  </si>
  <si>
    <t>eur/rok</t>
  </si>
  <si>
    <t>Náklady na parkovanie</t>
  </si>
  <si>
    <t>Mesačný poplatok za parkovacie miesto</t>
  </si>
  <si>
    <t>eur/miesto</t>
  </si>
  <si>
    <t>Počet parkovacích miest</t>
  </si>
  <si>
    <t>počet</t>
  </si>
  <si>
    <t>Nájom parkovacích miest (ročne)</t>
  </si>
  <si>
    <t>Prevádzkové náklady</t>
  </si>
  <si>
    <t>Spotreba energie</t>
  </si>
  <si>
    <t>MWh/rok</t>
  </si>
  <si>
    <t>Náklady na energie</t>
  </si>
  <si>
    <t>Náklady na bezpečnostnú službu</t>
  </si>
  <si>
    <t>Náklady na služby (upratovanie, údržba, poistenie)</t>
  </si>
  <si>
    <t>Ostatné náklady</t>
  </si>
  <si>
    <t>Variant 1 (výstavba)</t>
  </si>
  <si>
    <t>Priestorové požiadavky (nadzemné podlažia)</t>
  </si>
  <si>
    <t>Počet zamestnancov</t>
  </si>
  <si>
    <t>zam</t>
  </si>
  <si>
    <t>Požiadavky na administratívnu plochu</t>
  </si>
  <si>
    <t>m2/zam</t>
  </si>
  <si>
    <t>Potrebná administratívna plocha</t>
  </si>
  <si>
    <t>Koeficient ostatných priestorov</t>
  </si>
  <si>
    <t>Ostatné nadzemné priestory (vstupná hala, korirdory, schodiská)</t>
  </si>
  <si>
    <t>Celková nadzemná rozloha</t>
  </si>
  <si>
    <t>Priestorové požiadavky (podzemné podlažia)</t>
  </si>
  <si>
    <t>Koeficient skladových priestorov</t>
  </si>
  <si>
    <t>Potrebné skladové priestory</t>
  </si>
  <si>
    <t>Počet parkovacích miest (podľa STN)</t>
  </si>
  <si>
    <t>Rozloha parkovacieho miesta</t>
  </si>
  <si>
    <t>Rozloha parkoviska</t>
  </si>
  <si>
    <t>Celková podzemná rozloha</t>
  </si>
  <si>
    <t>Stavebné náklady</t>
  </si>
  <si>
    <t>Stavebné náklady (NP)</t>
  </si>
  <si>
    <t>Stavebné náklady (PP)</t>
  </si>
  <si>
    <t>Fitout</t>
  </si>
  <si>
    <t>Úspora energie</t>
  </si>
  <si>
    <t>Náklady na prevádzku spolu</t>
  </si>
  <si>
    <t>Výpočet parkovacích stojísk podľa STN</t>
  </si>
  <si>
    <t>N = 1,1 * Po * kmp * kd</t>
  </si>
  <si>
    <t>Po - základný počet parkovacích stojísk</t>
  </si>
  <si>
    <t>kmp - regulačný koeficient polohy</t>
  </si>
  <si>
    <t>kd - súčiniteľ vplyvu deľby prepravnej práce</t>
  </si>
  <si>
    <t>Variant 2 (nájom Fakeside Park)</t>
  </si>
  <si>
    <t>Rozloha nájmu</t>
  </si>
  <si>
    <t>Fitout nájmu</t>
  </si>
  <si>
    <t>ALTERNATÍVA 0 STATUS QUO</t>
  </si>
  <si>
    <t>Celkom</t>
  </si>
  <si>
    <t>Projektová dokumentácia</t>
  </si>
  <si>
    <t>Pozemok</t>
  </si>
  <si>
    <t>Budova</t>
  </si>
  <si>
    <t>Vyvolané náklady</t>
  </si>
  <si>
    <t>Celkové investičné výdavky</t>
  </si>
  <si>
    <t>ALTERNATÍVA 1 VÝSTAVBA</t>
  </si>
  <si>
    <t>s DPH</t>
  </si>
  <si>
    <t>ALTERNATÍVA 2 NOVÝ NÁJOM</t>
  </si>
  <si>
    <t>Zostatková hodnota na základe životnosti infraštruktrálnych prvkov (účtovné odpisy)</t>
  </si>
  <si>
    <t>Infraštrukturálny prvok</t>
  </si>
  <si>
    <t>Životnosť v rokoch</t>
  </si>
  <si>
    <t>Obdobie prevádzky v rámci referenčného obdobia</t>
  </si>
  <si>
    <t>Životnosť (vrátane výmeny)</t>
  </si>
  <si>
    <t>Zostatková hodnota</t>
  </si>
  <si>
    <t>ALTERNATÍVA 0</t>
  </si>
  <si>
    <t>Pozemky</t>
  </si>
  <si>
    <t>nekonečná</t>
  </si>
  <si>
    <t>Budovy</t>
  </si>
  <si>
    <t>ALTERNATÍVA 1</t>
  </si>
  <si>
    <t>ALTERNATÍVA 2</t>
  </si>
  <si>
    <t>Rok</t>
  </si>
  <si>
    <t>STATUS QUO</t>
  </si>
  <si>
    <t>Nájom parkovacích miest</t>
  </si>
  <si>
    <t>Prevádzka</t>
  </si>
  <si>
    <t>Energie</t>
  </si>
  <si>
    <t>Celkové prevádzkové výdavky</t>
  </si>
  <si>
    <t>VÝSTAVBA</t>
  </si>
  <si>
    <t>NOVÝ NÁJOM</t>
  </si>
  <si>
    <t>Vstupné</t>
  </si>
  <si>
    <t>Iné</t>
  </si>
  <si>
    <t>Celkové prevádzkové príjmy</t>
  </si>
  <si>
    <t>FNPV</t>
  </si>
  <si>
    <t>Peňažné toky</t>
  </si>
  <si>
    <t>(diskontované)</t>
  </si>
  <si>
    <t>Investičné výdavky</t>
  </si>
  <si>
    <t>Prevádzkové výdavky</t>
  </si>
  <si>
    <t>Prevádzkové príjmy</t>
  </si>
  <si>
    <t>Čisté peňažné toky</t>
  </si>
  <si>
    <t>Finančná čistá súčasná hodnota investície</t>
  </si>
  <si>
    <t>EUR</t>
  </si>
  <si>
    <t>Emisie</t>
  </si>
  <si>
    <t>Celkové spoločenské náklady</t>
  </si>
  <si>
    <t>ENPV</t>
  </si>
  <si>
    <t>Ekonomická čistá súčasná hodnota investície</t>
  </si>
  <si>
    <t>Žltou vyznačené bunky môžu byť upravené podľa konkrétneho projektu</t>
  </si>
  <si>
    <t>Celkom bez DPH</t>
  </si>
  <si>
    <t>Zostatková hodnota finančná</t>
  </si>
  <si>
    <t>Zostatková hodnota ekonomická</t>
  </si>
  <si>
    <t>Zostávajúca životnosť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</si>
</sst>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_-;\-* #,##0_-;_-* &quot;-&quot;??_-;_-@_-"/>
    <numFmt numFmtId="167" formatCode="#,##0_ ;[Red]\-#,##0\ "/>
    <numFmt numFmtId="168" formatCode="0.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theme="0" tint="-0.499984740745262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10" fontId="2" fillId="0" borderId="0" xfId="2" applyNumberFormat="1" applyFont="1"/>
    <xf numFmtId="9" fontId="5" fillId="0" borderId="0" xfId="2" applyFont="1"/>
    <xf numFmtId="166" fontId="2" fillId="2" borderId="0" xfId="1" applyNumberFormat="1" applyFont="1" applyFill="1"/>
    <xf numFmtId="166" fontId="3" fillId="2" borderId="0" xfId="1" applyNumberFormat="1" applyFont="1" applyFill="1"/>
    <xf numFmtId="0" fontId="11" fillId="0" borderId="0" xfId="3" applyFont="1"/>
    <xf numFmtId="165" fontId="2" fillId="0" borderId="0" xfId="0" applyNumberFormat="1" applyFont="1"/>
    <xf numFmtId="0" fontId="2" fillId="5" borderId="0" xfId="0" applyFont="1" applyFill="1"/>
    <xf numFmtId="0" fontId="2" fillId="0" borderId="0" xfId="2" applyNumberFormat="1" applyFont="1"/>
    <xf numFmtId="2" fontId="2" fillId="0" borderId="0" xfId="0" applyNumberFormat="1" applyFont="1"/>
    <xf numFmtId="164" fontId="2" fillId="0" borderId="0" xfId="0" applyNumberFormat="1" applyFont="1"/>
    <xf numFmtId="43" fontId="2" fillId="0" borderId="0" xfId="1" applyFont="1" applyBorder="1"/>
    <xf numFmtId="43" fontId="2" fillId="0" borderId="0" xfId="1" applyFont="1" applyFill="1"/>
    <xf numFmtId="43" fontId="2" fillId="0" borderId="0" xfId="1" applyFont="1" applyFill="1" applyBorder="1"/>
    <xf numFmtId="43" fontId="2" fillId="5" borderId="0" xfId="1" applyFont="1" applyFill="1" applyBorder="1"/>
    <xf numFmtId="43" fontId="2" fillId="5" borderId="0" xfId="1" applyFont="1" applyFill="1"/>
    <xf numFmtId="10" fontId="2" fillId="5" borderId="0" xfId="2" applyNumberFormat="1" applyFont="1" applyFill="1"/>
    <xf numFmtId="9" fontId="2" fillId="5" borderId="0" xfId="2" applyFont="1" applyFill="1"/>
    <xf numFmtId="0" fontId="5" fillId="0" borderId="0" xfId="0" applyFont="1" applyAlignment="1">
      <alignment horizontal="right"/>
    </xf>
    <xf numFmtId="166" fontId="5" fillId="0" borderId="0" xfId="0" applyNumberFormat="1" applyFont="1"/>
    <xf numFmtId="168" fontId="2" fillId="0" borderId="0" xfId="0" applyNumberFormat="1" applyFont="1"/>
    <xf numFmtId="0" fontId="14" fillId="5" borderId="0" xfId="0" applyFont="1" applyFill="1"/>
    <xf numFmtId="0" fontId="12" fillId="0" borderId="0" xfId="3" applyFont="1" applyBorder="1"/>
    <xf numFmtId="0" fontId="11" fillId="0" borderId="0" xfId="3" applyFont="1" applyBorder="1"/>
    <xf numFmtId="0" fontId="12" fillId="0" borderId="0" xfId="3" applyFont="1" applyBorder="1" applyAlignment="1">
      <alignment horizontal="center"/>
    </xf>
    <xf numFmtId="0" fontId="12" fillId="3" borderId="0" xfId="3" applyFont="1" applyFill="1" applyBorder="1" applyAlignment="1">
      <alignment horizontal="left"/>
    </xf>
    <xf numFmtId="0" fontId="12" fillId="3" borderId="0" xfId="3" applyFont="1" applyFill="1" applyBorder="1" applyAlignment="1">
      <alignment horizontal="center" wrapText="1"/>
    </xf>
    <xf numFmtId="0" fontId="11" fillId="0" borderId="0" xfId="3" applyFont="1" applyBorder="1" applyAlignment="1">
      <alignment horizontal="left"/>
    </xf>
    <xf numFmtId="0" fontId="11" fillId="0" borderId="0" xfId="3" applyFont="1" applyBorder="1" applyAlignment="1">
      <alignment horizontal="center" wrapText="1"/>
    </xf>
    <xf numFmtId="1" fontId="11" fillId="5" borderId="0" xfId="3" applyNumberFormat="1" applyFont="1" applyFill="1" applyBorder="1" applyAlignment="1">
      <alignment horizontal="center" vertical="center" wrapText="1"/>
    </xf>
    <xf numFmtId="9" fontId="11" fillId="0" borderId="0" xfId="2" applyFont="1" applyBorder="1" applyAlignment="1">
      <alignment horizontal="center"/>
    </xf>
    <xf numFmtId="3" fontId="11" fillId="0" borderId="0" xfId="3" applyNumberFormat="1" applyFont="1" applyBorder="1"/>
    <xf numFmtId="0" fontId="11" fillId="0" borderId="0" xfId="3" applyFont="1" applyBorder="1" applyAlignment="1">
      <alignment horizontal="center"/>
    </xf>
    <xf numFmtId="9" fontId="11" fillId="0" borderId="0" xfId="7" applyFont="1" applyBorder="1" applyAlignment="1">
      <alignment horizontal="center"/>
    </xf>
    <xf numFmtId="3" fontId="12" fillId="0" borderId="0" xfId="3" applyNumberFormat="1" applyFont="1" applyBorder="1"/>
    <xf numFmtId="0" fontId="12" fillId="2" borderId="0" xfId="3" applyFont="1" applyFill="1" applyBorder="1" applyAlignment="1">
      <alignment horizontal="left"/>
    </xf>
    <xf numFmtId="0" fontId="12" fillId="2" borderId="0" xfId="3" applyFont="1" applyFill="1" applyBorder="1" applyAlignment="1">
      <alignment horizontal="center" wrapText="1"/>
    </xf>
    <xf numFmtId="0" fontId="3" fillId="3" borderId="0" xfId="0" applyFont="1" applyFill="1"/>
    <xf numFmtId="43" fontId="2" fillId="3" borderId="0" xfId="1" applyFont="1" applyFill="1"/>
    <xf numFmtId="0" fontId="2" fillId="3" borderId="0" xfId="0" applyFont="1" applyFill="1"/>
    <xf numFmtId="0" fontId="11" fillId="0" borderId="0" xfId="3" applyFont="1" applyFill="1" applyBorder="1"/>
    <xf numFmtId="0" fontId="12" fillId="3" borderId="0" xfId="3" applyFont="1" applyFill="1" applyBorder="1"/>
    <xf numFmtId="0" fontId="4" fillId="3" borderId="0" xfId="3" applyFont="1" applyFill="1" applyBorder="1"/>
    <xf numFmtId="0" fontId="13" fillId="2" borderId="0" xfId="3" applyFont="1" applyFill="1" applyBorder="1"/>
    <xf numFmtId="166" fontId="2" fillId="0" borderId="0" xfId="1" applyNumberFormat="1" applyFont="1" applyBorder="1"/>
    <xf numFmtId="166" fontId="2" fillId="2" borderId="0" xfId="1" applyNumberFormat="1" applyFont="1" applyFill="1" applyBorder="1"/>
    <xf numFmtId="3" fontId="12" fillId="2" borderId="0" xfId="3" applyNumberFormat="1" applyFont="1" applyFill="1" applyBorder="1"/>
    <xf numFmtId="0" fontId="4" fillId="0" borderId="0" xfId="3" applyFont="1" applyBorder="1"/>
    <xf numFmtId="0" fontId="4" fillId="0" borderId="0" xfId="3" applyFont="1" applyFill="1" applyBorder="1"/>
    <xf numFmtId="0" fontId="7" fillId="0" borderId="0" xfId="3" applyFont="1" applyBorder="1"/>
    <xf numFmtId="0" fontId="2" fillId="0" borderId="0" xfId="0" applyFont="1" applyBorder="1"/>
    <xf numFmtId="166" fontId="2" fillId="0" borderId="0" xfId="0" applyNumberFormat="1" applyFont="1" applyBorder="1"/>
    <xf numFmtId="0" fontId="15" fillId="0" borderId="0" xfId="3" applyFont="1" applyBorder="1"/>
    <xf numFmtId="167" fontId="11" fillId="0" borderId="0" xfId="3" applyNumberFormat="1" applyFont="1" applyBorder="1"/>
    <xf numFmtId="0" fontId="11" fillId="3" borderId="0" xfId="3" applyFont="1" applyFill="1" applyBorder="1" applyAlignment="1">
      <alignment horizontal="center"/>
    </xf>
    <xf numFmtId="3" fontId="11" fillId="2" borderId="0" xfId="3" applyNumberFormat="1" applyFont="1" applyFill="1" applyBorder="1"/>
    <xf numFmtId="3" fontId="11" fillId="4" borderId="0" xfId="3" applyNumberFormat="1" applyFont="1" applyFill="1" applyBorder="1"/>
    <xf numFmtId="167" fontId="11" fillId="2" borderId="0" xfId="3" applyNumberFormat="1" applyFont="1" applyFill="1" applyBorder="1"/>
  </cellXfs>
  <cellStyles count="10">
    <cellStyle name="Čiarka" xfId="1" builtinId="3"/>
    <cellStyle name="Čiarka 2" xfId="8"/>
    <cellStyle name="Explanatory Text" xfId="6"/>
    <cellStyle name="Normal 2 2 2" xfId="5"/>
    <cellStyle name="Normal 9" xfId="4"/>
    <cellStyle name="Normálna" xfId="0" builtinId="0"/>
    <cellStyle name="Normálna 2" xfId="3"/>
    <cellStyle name="normálne 2 21" xfId="9"/>
    <cellStyle name="Percentá" xfId="2" builtinId="5"/>
    <cellStyle name="Percentá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80"/>
  <sheetViews>
    <sheetView showGridLines="0" workbookViewId="0">
      <selection activeCell="G31" sqref="G31"/>
    </sheetView>
  </sheetViews>
  <sheetFormatPr defaultColWidth="8.7109375" defaultRowHeight="12.75" x14ac:dyDescent="0.2"/>
  <cols>
    <col min="1" max="1" width="2.7109375" style="1" customWidth="1"/>
    <col min="2" max="2" width="44.140625" style="1" bestFit="1" customWidth="1"/>
    <col min="3" max="3" width="12.28515625" style="1" bestFit="1" customWidth="1"/>
    <col min="4" max="5" width="8.7109375" style="1"/>
    <col min="6" max="6" width="10.28515625" style="1" bestFit="1" customWidth="1"/>
    <col min="7" max="16384" width="8.7109375" style="1"/>
  </cols>
  <sheetData>
    <row r="2" spans="2:43" x14ac:dyDescent="0.2">
      <c r="B2" s="24" t="s">
        <v>109</v>
      </c>
      <c r="C2" s="24"/>
    </row>
    <row r="3" spans="2:43" x14ac:dyDescent="0.2">
      <c r="C3" s="3"/>
    </row>
    <row r="4" spans="2:43" x14ac:dyDescent="0.2">
      <c r="B4" s="2" t="s">
        <v>0</v>
      </c>
      <c r="C4" s="3"/>
    </row>
    <row r="5" spans="2:43" x14ac:dyDescent="0.2">
      <c r="B5" s="1" t="s">
        <v>1</v>
      </c>
      <c r="C5" s="4">
        <v>0.04</v>
      </c>
    </row>
    <row r="6" spans="2:43" x14ac:dyDescent="0.2">
      <c r="B6" s="1" t="s">
        <v>2</v>
      </c>
      <c r="C6" s="4">
        <v>0.05</v>
      </c>
    </row>
    <row r="7" spans="2:43" x14ac:dyDescent="0.2">
      <c r="B7" s="1" t="s">
        <v>3</v>
      </c>
      <c r="C7" s="4">
        <v>0.9</v>
      </c>
    </row>
    <row r="8" spans="2:43" x14ac:dyDescent="0.2">
      <c r="B8" s="1" t="s">
        <v>4</v>
      </c>
      <c r="C8" s="11">
        <v>80</v>
      </c>
      <c r="D8" s="1" t="s">
        <v>5</v>
      </c>
    </row>
    <row r="9" spans="2:43" x14ac:dyDescent="0.2">
      <c r="B9" s="1" t="s">
        <v>6</v>
      </c>
      <c r="C9" s="11">
        <v>0.46800000000000003</v>
      </c>
      <c r="D9" s="1" t="s">
        <v>7</v>
      </c>
    </row>
    <row r="11" spans="2:43" x14ac:dyDescent="0.2">
      <c r="B11" s="2" t="s">
        <v>8</v>
      </c>
      <c r="C11" s="11"/>
    </row>
    <row r="12" spans="2:43" x14ac:dyDescent="0.2">
      <c r="B12" s="1" t="s">
        <v>9</v>
      </c>
      <c r="C12" s="1">
        <v>2021</v>
      </c>
      <c r="D12" s="11">
        <v>2022</v>
      </c>
      <c r="E12" s="1">
        <v>2023</v>
      </c>
      <c r="F12" s="1">
        <v>2024</v>
      </c>
      <c r="G12" s="11">
        <v>2025</v>
      </c>
      <c r="H12" s="1">
        <v>2026</v>
      </c>
      <c r="I12" s="1">
        <v>2027</v>
      </c>
      <c r="J12" s="11">
        <v>2028</v>
      </c>
      <c r="K12" s="1">
        <v>2029</v>
      </c>
      <c r="L12" s="1">
        <v>2030</v>
      </c>
      <c r="M12" s="11">
        <v>2031</v>
      </c>
      <c r="N12" s="1">
        <v>2032</v>
      </c>
      <c r="O12" s="1">
        <v>2033</v>
      </c>
      <c r="P12" s="11">
        <v>2034</v>
      </c>
      <c r="Q12" s="1">
        <v>2035</v>
      </c>
      <c r="R12" s="1">
        <v>2036</v>
      </c>
      <c r="S12" s="11">
        <v>2037</v>
      </c>
      <c r="T12" s="1">
        <v>2038</v>
      </c>
      <c r="U12" s="1">
        <v>2039</v>
      </c>
      <c r="V12" s="11">
        <v>2040</v>
      </c>
      <c r="W12" s="1">
        <v>2041</v>
      </c>
      <c r="X12" s="1">
        <v>2042</v>
      </c>
      <c r="Y12" s="11">
        <v>2043</v>
      </c>
      <c r="Z12" s="1">
        <v>2044</v>
      </c>
      <c r="AA12" s="1">
        <v>2045</v>
      </c>
      <c r="AB12" s="11">
        <v>2046</v>
      </c>
      <c r="AC12" s="1">
        <v>2047</v>
      </c>
      <c r="AD12" s="1">
        <v>2048</v>
      </c>
      <c r="AE12" s="11">
        <v>2049</v>
      </c>
      <c r="AF12" s="1">
        <v>2050</v>
      </c>
      <c r="AG12" s="11">
        <v>2051</v>
      </c>
      <c r="AH12" s="1">
        <v>2052</v>
      </c>
      <c r="AI12" s="1">
        <v>2053</v>
      </c>
      <c r="AJ12" s="11">
        <v>2054</v>
      </c>
      <c r="AK12" s="1">
        <v>2055</v>
      </c>
      <c r="AL12" s="1">
        <v>2056</v>
      </c>
      <c r="AM12" s="1">
        <v>2057</v>
      </c>
      <c r="AN12" s="1">
        <v>2058</v>
      </c>
      <c r="AO12" s="1">
        <v>2059</v>
      </c>
      <c r="AP12" s="1">
        <v>2060</v>
      </c>
      <c r="AQ12" s="1">
        <v>2061</v>
      </c>
    </row>
    <row r="13" spans="2:43" x14ac:dyDescent="0.2">
      <c r="B13" s="1" t="s">
        <v>10</v>
      </c>
      <c r="C13" s="11">
        <v>104.2</v>
      </c>
      <c r="D13" s="1">
        <v>122.4</v>
      </c>
      <c r="E13" s="1">
        <v>140.6</v>
      </c>
      <c r="F13" s="1">
        <v>158.79999999999998</v>
      </c>
      <c r="G13" s="1">
        <v>177</v>
      </c>
      <c r="H13" s="1">
        <v>195.2</v>
      </c>
      <c r="I13" s="1">
        <v>213.39999999999998</v>
      </c>
      <c r="J13" s="1">
        <v>231.59999999999997</v>
      </c>
      <c r="K13" s="1">
        <v>249.79999999999995</v>
      </c>
      <c r="L13" s="1">
        <v>268</v>
      </c>
      <c r="M13" s="1">
        <v>298</v>
      </c>
      <c r="N13" s="12">
        <v>328</v>
      </c>
      <c r="O13" s="12">
        <v>358</v>
      </c>
      <c r="P13" s="12">
        <v>388</v>
      </c>
      <c r="Q13" s="12">
        <v>418</v>
      </c>
      <c r="R13" s="12">
        <v>447</v>
      </c>
      <c r="S13" s="12">
        <v>476</v>
      </c>
      <c r="T13" s="12">
        <v>505</v>
      </c>
      <c r="U13" s="12">
        <v>534</v>
      </c>
      <c r="V13" s="12">
        <v>563</v>
      </c>
      <c r="W13" s="12">
        <v>592</v>
      </c>
      <c r="X13" s="12">
        <v>621</v>
      </c>
      <c r="Y13" s="12">
        <v>650</v>
      </c>
      <c r="Z13" s="12">
        <v>679</v>
      </c>
      <c r="AA13" s="12">
        <v>708</v>
      </c>
      <c r="AB13" s="12">
        <v>738</v>
      </c>
      <c r="AC13" s="12">
        <v>768</v>
      </c>
      <c r="AD13" s="12">
        <v>798</v>
      </c>
      <c r="AE13" s="12">
        <v>828</v>
      </c>
      <c r="AF13" s="12">
        <v>858</v>
      </c>
      <c r="AG13" s="1">
        <v>858</v>
      </c>
      <c r="AH13" s="1">
        <v>858</v>
      </c>
      <c r="AI13" s="1">
        <v>858</v>
      </c>
      <c r="AJ13" s="1">
        <v>858</v>
      </c>
      <c r="AK13" s="1">
        <v>858</v>
      </c>
      <c r="AL13" s="1">
        <v>858</v>
      </c>
      <c r="AM13" s="1">
        <v>858</v>
      </c>
      <c r="AN13" s="1">
        <v>858</v>
      </c>
      <c r="AO13" s="1">
        <v>858</v>
      </c>
      <c r="AP13" s="1">
        <v>858</v>
      </c>
      <c r="AQ13" s="1">
        <v>858</v>
      </c>
    </row>
    <row r="14" spans="2:43" x14ac:dyDescent="0.2">
      <c r="C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2:43" x14ac:dyDescent="0.2">
      <c r="B15" s="40" t="s">
        <v>11</v>
      </c>
      <c r="C15" s="41"/>
      <c r="D15" s="42"/>
    </row>
    <row r="16" spans="2:43" x14ac:dyDescent="0.2">
      <c r="B16" s="2" t="s">
        <v>12</v>
      </c>
      <c r="C16" s="3"/>
    </row>
    <row r="17" spans="2:32" x14ac:dyDescent="0.2">
      <c r="B17" s="1" t="s">
        <v>13</v>
      </c>
      <c r="C17" s="17">
        <v>8000</v>
      </c>
      <c r="D17" s="1" t="s">
        <v>14</v>
      </c>
      <c r="F17" s="23"/>
    </row>
    <row r="18" spans="2:32" x14ac:dyDescent="0.2">
      <c r="B18" s="1" t="s">
        <v>15</v>
      </c>
      <c r="C18" s="17">
        <v>15</v>
      </c>
      <c r="D18" s="1" t="s">
        <v>16</v>
      </c>
    </row>
    <row r="19" spans="2:32" x14ac:dyDescent="0.2">
      <c r="B19" s="1" t="s">
        <v>17</v>
      </c>
      <c r="C19" s="16">
        <f>C18*C17*12</f>
        <v>1440000</v>
      </c>
      <c r="D19" s="1" t="s">
        <v>18</v>
      </c>
    </row>
    <row r="20" spans="2:32" x14ac:dyDescent="0.2">
      <c r="C20" s="16"/>
    </row>
    <row r="21" spans="2:32" x14ac:dyDescent="0.2">
      <c r="B21" s="2" t="s">
        <v>19</v>
      </c>
      <c r="C21" s="16"/>
    </row>
    <row r="22" spans="2:32" x14ac:dyDescent="0.2">
      <c r="B22" s="1" t="s">
        <v>20</v>
      </c>
      <c r="C22" s="17">
        <v>100</v>
      </c>
      <c r="D22" s="1" t="s">
        <v>21</v>
      </c>
    </row>
    <row r="23" spans="2:32" x14ac:dyDescent="0.2">
      <c r="B23" s="1" t="s">
        <v>22</v>
      </c>
      <c r="C23" s="17">
        <v>85</v>
      </c>
      <c r="D23" s="1" t="s">
        <v>23</v>
      </c>
    </row>
    <row r="24" spans="2:32" x14ac:dyDescent="0.2">
      <c r="B24" s="1" t="s">
        <v>24</v>
      </c>
      <c r="C24" s="14">
        <f>C22*C23*12</f>
        <v>102000</v>
      </c>
      <c r="D24" s="1" t="s">
        <v>18</v>
      </c>
    </row>
    <row r="25" spans="2:32" x14ac:dyDescent="0.2">
      <c r="C25" s="14"/>
    </row>
    <row r="26" spans="2:32" x14ac:dyDescent="0.2">
      <c r="B26" s="2" t="s">
        <v>25</v>
      </c>
      <c r="C26" s="14"/>
      <c r="H26" s="3"/>
    </row>
    <row r="27" spans="2:32" x14ac:dyDescent="0.2">
      <c r="B27" s="1" t="s">
        <v>26</v>
      </c>
      <c r="C27" s="17">
        <v>980</v>
      </c>
      <c r="D27" s="1" t="s">
        <v>27</v>
      </c>
      <c r="H27" s="3"/>
    </row>
    <row r="28" spans="2:32" x14ac:dyDescent="0.2">
      <c r="B28" s="1" t="s">
        <v>28</v>
      </c>
      <c r="C28" s="14">
        <f>C27*C8</f>
        <v>78400</v>
      </c>
      <c r="D28" s="1" t="s">
        <v>18</v>
      </c>
    </row>
    <row r="29" spans="2:32" x14ac:dyDescent="0.2">
      <c r="B29" s="1" t="s">
        <v>29</v>
      </c>
      <c r="C29" s="14">
        <f>5000*12</f>
        <v>60000</v>
      </c>
      <c r="D29" s="1" t="s">
        <v>18</v>
      </c>
    </row>
    <row r="30" spans="2:32" x14ac:dyDescent="0.2">
      <c r="B30" s="1" t="s">
        <v>30</v>
      </c>
      <c r="C30" s="17">
        <v>500000</v>
      </c>
      <c r="D30" s="1" t="s">
        <v>18</v>
      </c>
    </row>
    <row r="31" spans="2:32" x14ac:dyDescent="0.2">
      <c r="B31" s="1" t="s">
        <v>31</v>
      </c>
      <c r="C31" s="3">
        <f>SUM(C29:C30)</f>
        <v>560000</v>
      </c>
      <c r="D31" s="1" t="s">
        <v>18</v>
      </c>
    </row>
    <row r="32" spans="2:32" x14ac:dyDescent="0.2">
      <c r="C32" s="1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6" x14ac:dyDescent="0.2">
      <c r="B33" s="40" t="s">
        <v>32</v>
      </c>
      <c r="C33" s="41"/>
      <c r="D33" s="42"/>
    </row>
    <row r="34" spans="2:6" x14ac:dyDescent="0.2">
      <c r="B34" s="2" t="s">
        <v>33</v>
      </c>
      <c r="C34" s="3"/>
    </row>
    <row r="35" spans="2:6" x14ac:dyDescent="0.2">
      <c r="B35" s="1" t="s">
        <v>34</v>
      </c>
      <c r="C35" s="18">
        <v>500</v>
      </c>
      <c r="D35" s="1" t="s">
        <v>35</v>
      </c>
      <c r="E35" s="9"/>
      <c r="F35" s="13"/>
    </row>
    <row r="36" spans="2:6" x14ac:dyDescent="0.2">
      <c r="B36" s="1" t="s">
        <v>36</v>
      </c>
      <c r="C36" s="18">
        <v>12</v>
      </c>
      <c r="D36" s="1" t="s">
        <v>37</v>
      </c>
    </row>
    <row r="37" spans="2:6" x14ac:dyDescent="0.2">
      <c r="B37" s="1" t="s">
        <v>38</v>
      </c>
      <c r="C37" s="15">
        <f>C35*C36</f>
        <v>6000</v>
      </c>
      <c r="D37" s="1" t="s">
        <v>14</v>
      </c>
    </row>
    <row r="38" spans="2:6" x14ac:dyDescent="0.2">
      <c r="B38" s="1" t="s">
        <v>39</v>
      </c>
      <c r="C38" s="19">
        <v>0.3</v>
      </c>
    </row>
    <row r="39" spans="2:6" x14ac:dyDescent="0.2">
      <c r="B39" s="1" t="s">
        <v>40</v>
      </c>
      <c r="C39" s="15">
        <f>C37*C38</f>
        <v>1800</v>
      </c>
      <c r="D39" s="1" t="s">
        <v>14</v>
      </c>
    </row>
    <row r="40" spans="2:6" x14ac:dyDescent="0.2">
      <c r="B40" s="1" t="s">
        <v>41</v>
      </c>
      <c r="C40" s="15">
        <f>ROUNDUP(C39+C37,-3)</f>
        <v>8000</v>
      </c>
      <c r="D40" s="1" t="s">
        <v>14</v>
      </c>
    </row>
    <row r="41" spans="2:6" x14ac:dyDescent="0.2">
      <c r="C41" s="15"/>
    </row>
    <row r="42" spans="2:6" x14ac:dyDescent="0.2">
      <c r="B42" s="2" t="s">
        <v>42</v>
      </c>
      <c r="C42" s="15"/>
    </row>
    <row r="43" spans="2:6" x14ac:dyDescent="0.2">
      <c r="B43" s="1" t="s">
        <v>43</v>
      </c>
      <c r="C43" s="19">
        <v>0.11</v>
      </c>
    </row>
    <row r="44" spans="2:6" x14ac:dyDescent="0.2">
      <c r="B44" s="1" t="s">
        <v>44</v>
      </c>
      <c r="C44" s="15">
        <f>C43*C37</f>
        <v>660</v>
      </c>
      <c r="D44" s="1" t="s">
        <v>14</v>
      </c>
    </row>
    <row r="45" spans="2:6" x14ac:dyDescent="0.2">
      <c r="B45" s="1" t="s">
        <v>45</v>
      </c>
      <c r="C45" s="15">
        <f>C64+8</f>
        <v>50</v>
      </c>
      <c r="D45" s="1" t="s">
        <v>23</v>
      </c>
    </row>
    <row r="46" spans="2:6" x14ac:dyDescent="0.2">
      <c r="B46" s="1" t="s">
        <v>46</v>
      </c>
      <c r="C46" s="18">
        <v>26</v>
      </c>
      <c r="D46" s="1" t="s">
        <v>14</v>
      </c>
    </row>
    <row r="47" spans="2:6" x14ac:dyDescent="0.2">
      <c r="B47" s="1" t="s">
        <v>47</v>
      </c>
      <c r="C47" s="15">
        <f>C46*C45</f>
        <v>1300</v>
      </c>
      <c r="D47" s="1" t="s">
        <v>14</v>
      </c>
    </row>
    <row r="48" spans="2:6" x14ac:dyDescent="0.2">
      <c r="B48" s="1" t="s">
        <v>48</v>
      </c>
      <c r="C48" s="15">
        <f>ROUNDUP(C47+C44,-2)</f>
        <v>2000</v>
      </c>
      <c r="D48" s="1" t="s">
        <v>14</v>
      </c>
    </row>
    <row r="49" spans="2:6" x14ac:dyDescent="0.2">
      <c r="C49" s="15"/>
    </row>
    <row r="50" spans="2:6" x14ac:dyDescent="0.2">
      <c r="B50" s="2" t="s">
        <v>49</v>
      </c>
      <c r="C50" s="15"/>
    </row>
    <row r="51" spans="2:6" x14ac:dyDescent="0.2">
      <c r="B51" s="1" t="s">
        <v>50</v>
      </c>
      <c r="C51" s="18">
        <v>1600</v>
      </c>
      <c r="D51" s="1" t="s">
        <v>16</v>
      </c>
    </row>
    <row r="52" spans="2:6" x14ac:dyDescent="0.2">
      <c r="B52" s="1" t="s">
        <v>51</v>
      </c>
      <c r="C52" s="18">
        <v>1000</v>
      </c>
      <c r="D52" s="1" t="s">
        <v>16</v>
      </c>
    </row>
    <row r="53" spans="2:6" x14ac:dyDescent="0.2">
      <c r="B53" s="1" t="s">
        <v>52</v>
      </c>
      <c r="C53" s="18">
        <v>500</v>
      </c>
      <c r="D53" s="1" t="s">
        <v>16</v>
      </c>
    </row>
    <row r="55" spans="2:6" x14ac:dyDescent="0.2">
      <c r="B55" s="2" t="s">
        <v>25</v>
      </c>
      <c r="C55" s="3"/>
    </row>
    <row r="56" spans="2:6" x14ac:dyDescent="0.2">
      <c r="B56" s="1" t="s">
        <v>53</v>
      </c>
      <c r="C56" s="20">
        <v>0.4</v>
      </c>
    </row>
    <row r="57" spans="2:6" x14ac:dyDescent="0.2">
      <c r="B57" s="1" t="s">
        <v>26</v>
      </c>
      <c r="C57" s="3">
        <f>(C27/C17)*C40*(1-C56)</f>
        <v>588</v>
      </c>
      <c r="D57" s="1" t="s">
        <v>27</v>
      </c>
      <c r="F57" s="3"/>
    </row>
    <row r="58" spans="2:6" x14ac:dyDescent="0.2">
      <c r="B58" s="1" t="s">
        <v>28</v>
      </c>
      <c r="C58" s="3">
        <f>C57*C8</f>
        <v>47040</v>
      </c>
      <c r="D58" s="1" t="s">
        <v>18</v>
      </c>
    </row>
    <row r="59" spans="2:6" x14ac:dyDescent="0.2">
      <c r="B59" s="1" t="s">
        <v>29</v>
      </c>
      <c r="C59" s="3">
        <f>C29*0.7</f>
        <v>42000</v>
      </c>
      <c r="D59" s="1" t="s">
        <v>18</v>
      </c>
    </row>
    <row r="60" spans="2:6" x14ac:dyDescent="0.2">
      <c r="B60" s="1" t="s">
        <v>30</v>
      </c>
      <c r="C60" s="3">
        <f>C30</f>
        <v>500000</v>
      </c>
      <c r="D60" s="1" t="s">
        <v>18</v>
      </c>
    </row>
    <row r="61" spans="2:6" x14ac:dyDescent="0.2">
      <c r="B61" s="1" t="s">
        <v>54</v>
      </c>
      <c r="C61" s="3">
        <f>SUM(C59:C60)</f>
        <v>542000</v>
      </c>
      <c r="D61" s="1" t="s">
        <v>18</v>
      </c>
    </row>
    <row r="63" spans="2:6" ht="15" x14ac:dyDescent="0.25">
      <c r="B63" s="2" t="s">
        <v>55</v>
      </c>
      <c r="C63"/>
    </row>
    <row r="64" spans="2:6" x14ac:dyDescent="0.2">
      <c r="B64" s="1" t="s">
        <v>56</v>
      </c>
      <c r="C64" s="9">
        <f>ROUNDUP(1.1*C65*C66*C67,0)</f>
        <v>42</v>
      </c>
    </row>
    <row r="65" spans="2:6" x14ac:dyDescent="0.2">
      <c r="B65" s="1" t="s">
        <v>57</v>
      </c>
      <c r="C65" s="9">
        <f>C35*0.25</f>
        <v>125</v>
      </c>
    </row>
    <row r="66" spans="2:6" x14ac:dyDescent="0.2">
      <c r="B66" s="1" t="s">
        <v>58</v>
      </c>
      <c r="C66" s="10">
        <v>0.3</v>
      </c>
    </row>
    <row r="67" spans="2:6" x14ac:dyDescent="0.2">
      <c r="B67" s="1" t="s">
        <v>59</v>
      </c>
      <c r="C67" s="10">
        <v>1</v>
      </c>
    </row>
    <row r="69" spans="2:6" x14ac:dyDescent="0.2">
      <c r="B69" s="40" t="s">
        <v>60</v>
      </c>
      <c r="C69" s="41"/>
      <c r="D69" s="42"/>
    </row>
    <row r="70" spans="2:6" x14ac:dyDescent="0.2">
      <c r="B70" s="2" t="s">
        <v>12</v>
      </c>
      <c r="C70" s="15"/>
    </row>
    <row r="71" spans="2:6" x14ac:dyDescent="0.2">
      <c r="B71" s="1" t="s">
        <v>61</v>
      </c>
      <c r="C71" s="18">
        <v>7500</v>
      </c>
      <c r="D71" s="1" t="s">
        <v>14</v>
      </c>
    </row>
    <row r="72" spans="2:6" x14ac:dyDescent="0.2">
      <c r="B72" s="1" t="s">
        <v>15</v>
      </c>
      <c r="C72" s="18">
        <v>14</v>
      </c>
      <c r="D72" s="1" t="s">
        <v>16</v>
      </c>
      <c r="F72" s="13"/>
    </row>
    <row r="73" spans="2:6" x14ac:dyDescent="0.2">
      <c r="B73" s="1" t="s">
        <v>17</v>
      </c>
      <c r="C73" s="15">
        <f>C72*C71*12</f>
        <v>1260000</v>
      </c>
    </row>
    <row r="74" spans="2:6" x14ac:dyDescent="0.2">
      <c r="B74" s="1" t="s">
        <v>62</v>
      </c>
      <c r="C74" s="18">
        <v>400</v>
      </c>
      <c r="D74" s="1" t="s">
        <v>16</v>
      </c>
    </row>
    <row r="75" spans="2:6" x14ac:dyDescent="0.2">
      <c r="C75" s="15"/>
    </row>
    <row r="76" spans="2:6" x14ac:dyDescent="0.2">
      <c r="B76" s="2" t="s">
        <v>25</v>
      </c>
      <c r="C76" s="15"/>
    </row>
    <row r="77" spans="2:6" x14ac:dyDescent="0.2">
      <c r="B77" s="1" t="s">
        <v>53</v>
      </c>
      <c r="C77" s="20">
        <v>0.15</v>
      </c>
    </row>
    <row r="78" spans="2:6" x14ac:dyDescent="0.2">
      <c r="B78" s="1" t="s">
        <v>26</v>
      </c>
      <c r="C78" s="3">
        <f>(C27/C17)*C71*(1-C77)</f>
        <v>780.9375</v>
      </c>
      <c r="D78" s="1" t="s">
        <v>27</v>
      </c>
    </row>
    <row r="79" spans="2:6" x14ac:dyDescent="0.2">
      <c r="B79" s="1" t="s">
        <v>28</v>
      </c>
      <c r="C79" s="3">
        <f>C78*$C$8</f>
        <v>62475</v>
      </c>
    </row>
    <row r="80" spans="2:6" x14ac:dyDescent="0.2">
      <c r="B80" s="1" t="s">
        <v>31</v>
      </c>
      <c r="C80" s="15">
        <f>C31</f>
        <v>560000</v>
      </c>
      <c r="D80" s="1" t="s">
        <v>18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O23"/>
  <sheetViews>
    <sheetView showGridLines="0" workbookViewId="0">
      <selection activeCell="C30" sqref="C30"/>
    </sheetView>
  </sheetViews>
  <sheetFormatPr defaultColWidth="8.7109375" defaultRowHeight="12.75" x14ac:dyDescent="0.2"/>
  <cols>
    <col min="1" max="1" width="2.7109375" style="1" customWidth="1"/>
    <col min="2" max="2" width="27.42578125" style="1" bestFit="1" customWidth="1"/>
    <col min="3" max="3" width="16.42578125" style="1" customWidth="1"/>
    <col min="4" max="4" width="12.5703125" style="1" bestFit="1" customWidth="1"/>
    <col min="5" max="8" width="11.140625" style="1" bestFit="1" customWidth="1"/>
    <col min="9" max="9" width="10.42578125" style="1" bestFit="1" customWidth="1"/>
    <col min="10" max="14" width="8.85546875" style="1" bestFit="1" customWidth="1"/>
    <col min="15" max="16384" width="8.7109375" style="1"/>
  </cols>
  <sheetData>
    <row r="2" spans="2:15" x14ac:dyDescent="0.2">
      <c r="B2" s="2" t="s">
        <v>63</v>
      </c>
      <c r="C2" s="1" t="s">
        <v>110</v>
      </c>
      <c r="D2" s="1">
        <v>0</v>
      </c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>
        <v>7</v>
      </c>
      <c r="L2" s="1">
        <v>8</v>
      </c>
      <c r="M2" s="1">
        <v>9</v>
      </c>
      <c r="N2" s="1">
        <v>10</v>
      </c>
    </row>
    <row r="3" spans="2:15" x14ac:dyDescent="0.2">
      <c r="B3" s="1" t="s">
        <v>65</v>
      </c>
      <c r="C3" s="6">
        <f>SUM(D3:N3)</f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2:15" x14ac:dyDescent="0.2">
      <c r="B4" s="1" t="s">
        <v>66</v>
      </c>
      <c r="C4" s="6">
        <f t="shared" ref="C4:C7" si="0">SUM(D4:N4)</f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2:15" x14ac:dyDescent="0.2">
      <c r="B5" s="1" t="s">
        <v>67</v>
      </c>
      <c r="C5" s="6">
        <f t="shared" si="0"/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2:15" x14ac:dyDescent="0.2">
      <c r="B6" s="1" t="s">
        <v>68</v>
      </c>
      <c r="C6" s="6">
        <f t="shared" si="0"/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2:15" x14ac:dyDescent="0.2">
      <c r="B7" s="2" t="s">
        <v>69</v>
      </c>
      <c r="C7" s="7">
        <f t="shared" si="0"/>
        <v>0</v>
      </c>
      <c r="D7" s="7">
        <f>SUM(D3:D6)</f>
        <v>0</v>
      </c>
      <c r="E7" s="7">
        <f t="shared" ref="E7:N7" si="1">SUM(E3:E6)</f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7">
        <f t="shared" si="1"/>
        <v>0</v>
      </c>
    </row>
    <row r="9" spans="2:15" ht="15" x14ac:dyDescent="0.25">
      <c r="B9"/>
      <c r="C9" s="5">
        <f>SUM(D9:N9)</f>
        <v>1</v>
      </c>
      <c r="D9" s="5"/>
      <c r="E9" s="5">
        <v>0.05</v>
      </c>
      <c r="F9" s="5">
        <v>0.15</v>
      </c>
      <c r="G9" s="5">
        <v>0.35</v>
      </c>
      <c r="H9" s="5">
        <v>0.35</v>
      </c>
      <c r="I9" s="5">
        <v>0.1</v>
      </c>
      <c r="O9"/>
    </row>
    <row r="10" spans="2:15" ht="15" x14ac:dyDescent="0.25">
      <c r="B10" s="2" t="s">
        <v>70</v>
      </c>
      <c r="C10" s="1" t="s">
        <v>110</v>
      </c>
      <c r="D10" s="1">
        <v>0</v>
      </c>
      <c r="E10" s="1">
        <v>1</v>
      </c>
      <c r="F10" s="1">
        <v>2</v>
      </c>
      <c r="G10" s="1">
        <v>3</v>
      </c>
      <c r="H10" s="1">
        <v>4</v>
      </c>
      <c r="I10" s="1">
        <v>5</v>
      </c>
      <c r="J10" s="1">
        <v>6</v>
      </c>
      <c r="K10" s="1">
        <v>7</v>
      </c>
      <c r="L10" s="1">
        <v>8</v>
      </c>
      <c r="M10" s="1">
        <v>9</v>
      </c>
      <c r="N10" s="1">
        <v>10</v>
      </c>
      <c r="O10"/>
    </row>
    <row r="11" spans="2:15" ht="15" x14ac:dyDescent="0.25">
      <c r="B11" s="1" t="s">
        <v>65</v>
      </c>
      <c r="C11" s="6">
        <f>SUM(D11:N11)</f>
        <v>940000</v>
      </c>
      <c r="D11" s="6">
        <v>0</v>
      </c>
      <c r="E11" s="6">
        <f>$C$13*E9</f>
        <v>940000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/>
    </row>
    <row r="12" spans="2:15" ht="15" x14ac:dyDescent="0.25">
      <c r="B12" s="1" t="s">
        <v>66</v>
      </c>
      <c r="C12" s="6">
        <f>SUM(D12:N12)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/>
    </row>
    <row r="13" spans="2:15" ht="15" x14ac:dyDescent="0.25">
      <c r="B13" s="1" t="s">
        <v>67</v>
      </c>
      <c r="C13" s="6">
        <f>Predpoklady!C40*Predpoklady!C51+Predpoklady!C48*Predpoklady!C52+Predpoklady!C53*Predpoklady!C40</f>
        <v>18800000</v>
      </c>
      <c r="D13" s="6">
        <v>0</v>
      </c>
      <c r="E13" s="6">
        <v>0</v>
      </c>
      <c r="F13" s="6">
        <f>$C$13*F9</f>
        <v>2820000</v>
      </c>
      <c r="G13" s="6">
        <f>$C$13*G9</f>
        <v>6580000</v>
      </c>
      <c r="H13" s="6">
        <f>$C$13*H9</f>
        <v>6580000</v>
      </c>
      <c r="I13" s="6">
        <f>$C$13*I9</f>
        <v>1880000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/>
    </row>
    <row r="14" spans="2:15" ht="15" x14ac:dyDescent="0.25">
      <c r="B14" s="1" t="s">
        <v>68</v>
      </c>
      <c r="C14" s="6">
        <f>SUM(D14:N14)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/>
    </row>
    <row r="15" spans="2:15" ht="15" x14ac:dyDescent="0.25">
      <c r="B15" s="2" t="s">
        <v>69</v>
      </c>
      <c r="C15" s="7">
        <f>SUM(D15:N15)</f>
        <v>18800000</v>
      </c>
      <c r="D15" s="7">
        <f>SUM(D11:D14)</f>
        <v>0</v>
      </c>
      <c r="E15" s="7">
        <f t="shared" ref="E15:N15" si="2">SUM(E11:E14)</f>
        <v>940000</v>
      </c>
      <c r="F15" s="7">
        <f t="shared" si="2"/>
        <v>2820000</v>
      </c>
      <c r="G15" s="7">
        <f t="shared" si="2"/>
        <v>6580000</v>
      </c>
      <c r="H15" s="7">
        <f t="shared" si="2"/>
        <v>6580000</v>
      </c>
      <c r="I15" s="7">
        <f t="shared" si="2"/>
        <v>1880000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/>
    </row>
    <row r="16" spans="2:15" x14ac:dyDescent="0.2">
      <c r="B16" s="21" t="s">
        <v>71</v>
      </c>
      <c r="C16" s="22">
        <f>C15*1.2</f>
        <v>22560000</v>
      </c>
    </row>
    <row r="18" spans="2:14" x14ac:dyDescent="0.2">
      <c r="B18" s="2" t="s">
        <v>72</v>
      </c>
      <c r="C18" s="1" t="s">
        <v>110</v>
      </c>
    </row>
    <row r="19" spans="2:14" x14ac:dyDescent="0.2">
      <c r="B19" s="1" t="s">
        <v>65</v>
      </c>
      <c r="C19" s="6">
        <f t="shared" ref="C19:C22" si="3">SUM(D19:N19)</f>
        <v>0</v>
      </c>
      <c r="D19" s="6">
        <v>0</v>
      </c>
      <c r="E19" s="6">
        <f>$C$13*E17</f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2:14" x14ac:dyDescent="0.2">
      <c r="B20" s="1" t="s">
        <v>66</v>
      </c>
      <c r="C20" s="6">
        <f t="shared" si="3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2:14" x14ac:dyDescent="0.2">
      <c r="B21" s="1" t="s">
        <v>52</v>
      </c>
      <c r="C21" s="6">
        <f t="shared" si="3"/>
        <v>3000000</v>
      </c>
      <c r="D21" s="6">
        <v>0</v>
      </c>
      <c r="E21" s="6">
        <f>Predpoklady!C74*Predpoklady!C71</f>
        <v>3000000</v>
      </c>
      <c r="F21" s="6">
        <f>$C$13*F17</f>
        <v>0</v>
      </c>
      <c r="G21" s="6">
        <f>$C$13*G17</f>
        <v>0</v>
      </c>
      <c r="H21" s="6">
        <f>$C$13*H17</f>
        <v>0</v>
      </c>
      <c r="I21" s="6">
        <f>$C$13*I17</f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2:14" x14ac:dyDescent="0.2">
      <c r="B22" s="1" t="s">
        <v>68</v>
      </c>
      <c r="C22" s="6">
        <f t="shared" si="3"/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2:14" x14ac:dyDescent="0.2">
      <c r="B23" s="2" t="s">
        <v>69</v>
      </c>
      <c r="C23" s="7">
        <f>SUM(D23:N23)</f>
        <v>3000000</v>
      </c>
      <c r="D23" s="7">
        <f>SUM(D19:D22)</f>
        <v>0</v>
      </c>
      <c r="E23" s="7">
        <f t="shared" ref="E23:N23" si="4">SUM(E19:E22)</f>
        <v>3000000</v>
      </c>
      <c r="F23" s="7">
        <f t="shared" si="4"/>
        <v>0</v>
      </c>
      <c r="G23" s="7">
        <f t="shared" si="4"/>
        <v>0</v>
      </c>
      <c r="H23" s="7">
        <f t="shared" si="4"/>
        <v>0</v>
      </c>
      <c r="I23" s="7">
        <f t="shared" si="4"/>
        <v>0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s="7">
        <f t="shared" si="4"/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7"/>
  <sheetViews>
    <sheetView showGridLines="0" tabSelected="1" zoomScaleNormal="100" workbookViewId="0">
      <selection activeCell="E25" sqref="E25"/>
    </sheetView>
  </sheetViews>
  <sheetFormatPr defaultColWidth="9.140625" defaultRowHeight="12.75" x14ac:dyDescent="0.2"/>
  <cols>
    <col min="1" max="1" width="2.7109375" style="8" customWidth="1"/>
    <col min="2" max="2" width="67.140625" style="8" bestFit="1" customWidth="1"/>
    <col min="3" max="3" width="11" style="8" customWidth="1"/>
    <col min="4" max="4" width="21.5703125" style="8" bestFit="1" customWidth="1"/>
    <col min="5" max="5" width="15.140625" style="8" bestFit="1" customWidth="1"/>
    <col min="6" max="6" width="11.140625" style="8" bestFit="1" customWidth="1"/>
    <col min="7" max="8" width="16.42578125" style="8" bestFit="1" customWidth="1"/>
    <col min="9" max="29" width="9.42578125" style="8" customWidth="1"/>
    <col min="30" max="30" width="7.5703125" style="8" customWidth="1"/>
    <col min="31" max="31" width="7.7109375" style="8" customWidth="1"/>
    <col min="32" max="33" width="7.5703125" style="8" customWidth="1"/>
    <col min="34" max="34" width="7.7109375" style="8" customWidth="1"/>
    <col min="35" max="16384" width="9.140625" style="8"/>
  </cols>
  <sheetData>
    <row r="2" spans="2:8" x14ac:dyDescent="0.2">
      <c r="B2" s="25" t="s">
        <v>73</v>
      </c>
      <c r="C2" s="26"/>
      <c r="D2" s="26"/>
      <c r="E2" s="26"/>
      <c r="F2" s="26"/>
      <c r="G2" s="27"/>
      <c r="H2" s="27"/>
    </row>
    <row r="3" spans="2:8" ht="25.5" x14ac:dyDescent="0.2">
      <c r="B3" s="28" t="s">
        <v>74</v>
      </c>
      <c r="C3" s="29" t="s">
        <v>75</v>
      </c>
      <c r="D3" s="29" t="s">
        <v>76</v>
      </c>
      <c r="E3" s="29" t="s">
        <v>77</v>
      </c>
      <c r="F3" s="29" t="s">
        <v>113</v>
      </c>
      <c r="G3" s="29" t="s">
        <v>111</v>
      </c>
      <c r="H3" s="29" t="s">
        <v>112</v>
      </c>
    </row>
    <row r="4" spans="2:8" x14ac:dyDescent="0.2">
      <c r="B4" s="38" t="s">
        <v>79</v>
      </c>
      <c r="C4" s="39"/>
      <c r="D4" s="39"/>
      <c r="E4" s="39"/>
      <c r="F4" s="39"/>
      <c r="G4" s="39"/>
      <c r="H4" s="39"/>
    </row>
    <row r="5" spans="2:8" x14ac:dyDescent="0.2">
      <c r="B5" s="30" t="s">
        <v>80</v>
      </c>
      <c r="C5" s="31" t="s">
        <v>81</v>
      </c>
      <c r="D5" s="32">
        <v>25</v>
      </c>
      <c r="E5" s="31" t="s">
        <v>81</v>
      </c>
      <c r="F5" s="33">
        <v>1</v>
      </c>
      <c r="G5" s="34">
        <f>'01 Investičné výdavky'!C4*F5</f>
        <v>0</v>
      </c>
      <c r="H5" s="34"/>
    </row>
    <row r="6" spans="2:8" x14ac:dyDescent="0.2">
      <c r="B6" s="30" t="s">
        <v>82</v>
      </c>
      <c r="C6" s="35">
        <v>60</v>
      </c>
      <c r="D6" s="32">
        <v>25</v>
      </c>
      <c r="E6" s="35">
        <f>C6</f>
        <v>60</v>
      </c>
      <c r="F6" s="36">
        <f>(E6-D6)/C6</f>
        <v>0.58333333333333337</v>
      </c>
      <c r="G6" s="34">
        <f>'01 Investičné výdavky'!C5*F6</f>
        <v>0</v>
      </c>
      <c r="H6" s="34">
        <f>G6*Predpoklady!C7</f>
        <v>0</v>
      </c>
    </row>
    <row r="7" spans="2:8" x14ac:dyDescent="0.2">
      <c r="B7" s="25" t="s">
        <v>78</v>
      </c>
      <c r="C7" s="26"/>
      <c r="D7" s="26"/>
      <c r="E7" s="26"/>
      <c r="F7" s="26"/>
      <c r="G7" s="37">
        <f>SUM(G5:G6)</f>
        <v>0</v>
      </c>
      <c r="H7" s="37">
        <f>SUM(H5:H6)</f>
        <v>0</v>
      </c>
    </row>
    <row r="8" spans="2:8" x14ac:dyDescent="0.2">
      <c r="B8" s="26"/>
      <c r="C8" s="26"/>
      <c r="D8" s="26"/>
      <c r="E8" s="26"/>
      <c r="F8" s="26"/>
      <c r="G8" s="26"/>
      <c r="H8" s="26"/>
    </row>
    <row r="9" spans="2:8" x14ac:dyDescent="0.2">
      <c r="B9" s="38" t="s">
        <v>83</v>
      </c>
      <c r="C9" s="39"/>
      <c r="D9" s="39"/>
      <c r="E9" s="39"/>
      <c r="F9" s="39"/>
      <c r="G9" s="39"/>
      <c r="H9" s="39"/>
    </row>
    <row r="10" spans="2:8" x14ac:dyDescent="0.2">
      <c r="B10" s="30" t="s">
        <v>80</v>
      </c>
      <c r="C10" s="31" t="s">
        <v>81</v>
      </c>
      <c r="D10" s="32">
        <v>25</v>
      </c>
      <c r="E10" s="31" t="s">
        <v>81</v>
      </c>
      <c r="F10" s="33">
        <v>1</v>
      </c>
      <c r="G10" s="34">
        <f>'01 Investičné výdavky'!C12*F10</f>
        <v>0</v>
      </c>
      <c r="H10" s="34"/>
    </row>
    <row r="11" spans="2:8" x14ac:dyDescent="0.2">
      <c r="B11" s="30" t="s">
        <v>82</v>
      </c>
      <c r="C11" s="35">
        <v>60</v>
      </c>
      <c r="D11" s="32">
        <v>25</v>
      </c>
      <c r="E11" s="35">
        <f>C11</f>
        <v>60</v>
      </c>
      <c r="F11" s="36">
        <f>(E11-D11)/C11</f>
        <v>0.58333333333333337</v>
      </c>
      <c r="G11" s="34">
        <f>'01 Investičné výdavky'!C13*F11</f>
        <v>10966666.666666668</v>
      </c>
      <c r="H11" s="34">
        <f>G11*Predpoklady!C7</f>
        <v>9870000.0000000019</v>
      </c>
    </row>
    <row r="12" spans="2:8" x14ac:dyDescent="0.2">
      <c r="B12" s="25" t="s">
        <v>78</v>
      </c>
      <c r="C12" s="26"/>
      <c r="D12" s="26"/>
      <c r="E12" s="26"/>
      <c r="F12" s="26"/>
      <c r="G12" s="37">
        <f>SUM(G10:G11)</f>
        <v>10966666.666666668</v>
      </c>
      <c r="H12" s="37">
        <f>SUM(H10:H11)</f>
        <v>9870000.0000000019</v>
      </c>
    </row>
    <row r="13" spans="2:8" x14ac:dyDescent="0.2">
      <c r="B13" s="26"/>
      <c r="C13" s="26"/>
      <c r="D13" s="26"/>
      <c r="E13" s="26"/>
      <c r="F13" s="26"/>
      <c r="G13" s="26"/>
      <c r="H13" s="26"/>
    </row>
    <row r="14" spans="2:8" x14ac:dyDescent="0.2">
      <c r="B14" s="38" t="s">
        <v>84</v>
      </c>
      <c r="C14" s="39"/>
      <c r="D14" s="39"/>
      <c r="E14" s="39"/>
      <c r="F14" s="39"/>
      <c r="G14" s="39"/>
      <c r="H14" s="39"/>
    </row>
    <row r="15" spans="2:8" x14ac:dyDescent="0.2">
      <c r="B15" s="30" t="s">
        <v>80</v>
      </c>
      <c r="C15" s="31" t="s">
        <v>81</v>
      </c>
      <c r="D15" s="32">
        <v>25</v>
      </c>
      <c r="E15" s="31" t="s">
        <v>81</v>
      </c>
      <c r="F15" s="33">
        <v>1</v>
      </c>
      <c r="G15" s="34">
        <f>'01 Investičné výdavky'!C17*F15</f>
        <v>0</v>
      </c>
      <c r="H15" s="34"/>
    </row>
    <row r="16" spans="2:8" x14ac:dyDescent="0.2">
      <c r="B16" s="30" t="s">
        <v>82</v>
      </c>
      <c r="C16" s="35">
        <v>60</v>
      </c>
      <c r="D16" s="32">
        <v>25</v>
      </c>
      <c r="E16" s="35">
        <f>C16</f>
        <v>60</v>
      </c>
      <c r="F16" s="36">
        <f>(E16-D16)/C16</f>
        <v>0.58333333333333337</v>
      </c>
      <c r="G16" s="34">
        <v>0</v>
      </c>
      <c r="H16" s="34">
        <f>G16*Predpoklady!C7</f>
        <v>0</v>
      </c>
    </row>
    <row r="17" spans="2:8" x14ac:dyDescent="0.2">
      <c r="B17" s="25" t="s">
        <v>78</v>
      </c>
      <c r="C17" s="26"/>
      <c r="D17" s="26"/>
      <c r="E17" s="26"/>
      <c r="F17" s="26"/>
      <c r="G17" s="37">
        <f>SUM(G15:G16)</f>
        <v>0</v>
      </c>
      <c r="H17" s="37">
        <f>SUM(H15:H16)</f>
        <v>0</v>
      </c>
    </row>
  </sheetData>
  <pageMargins left="0.19685039370078741" right="0.19685039370078741" top="0.98425196850393704" bottom="0.78740157480314965" header="0.51181102362204722" footer="0.51181102362204722"/>
  <pageSetup scale="75" orientation="landscape" r:id="rId1"/>
  <headerFooter alignWithMargins="0">
    <oddHeader>&amp;LPríloha 7: Štandardné tabuľky - Cesty
&amp;"Arial,Tučné"&amp;12 02 Zostatková hodnota</oddHead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G28"/>
  <sheetViews>
    <sheetView showGridLines="0" zoomScaleNormal="100" workbookViewId="0">
      <selection activeCell="I7" sqref="I7"/>
    </sheetView>
  </sheetViews>
  <sheetFormatPr defaultColWidth="9.140625" defaultRowHeight="12.75" x14ac:dyDescent="0.2"/>
  <cols>
    <col min="1" max="1" width="2.7109375" style="26" customWidth="1"/>
    <col min="2" max="2" width="28" style="26" bestFit="1" customWidth="1"/>
    <col min="3" max="3" width="11.5703125" style="26" bestFit="1" customWidth="1"/>
    <col min="4" max="33" width="10.42578125" style="26" bestFit="1" customWidth="1"/>
    <col min="34" max="16384" width="9.140625" style="26"/>
  </cols>
  <sheetData>
    <row r="1" spans="2:33" x14ac:dyDescent="0.2">
      <c r="D1" s="26" t="s">
        <v>85</v>
      </c>
    </row>
    <row r="2" spans="2:33" x14ac:dyDescent="0.2">
      <c r="B2" s="25" t="s">
        <v>79</v>
      </c>
      <c r="C2" s="25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43">
        <v>6</v>
      </c>
      <c r="J2" s="26">
        <v>7</v>
      </c>
      <c r="K2" s="26">
        <v>8</v>
      </c>
      <c r="L2" s="26">
        <v>9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6">
        <v>19</v>
      </c>
      <c r="W2" s="26">
        <v>20</v>
      </c>
      <c r="X2" s="26">
        <v>21</v>
      </c>
      <c r="Y2" s="26">
        <v>22</v>
      </c>
      <c r="Z2" s="26">
        <v>23</v>
      </c>
      <c r="AA2" s="26">
        <v>24</v>
      </c>
      <c r="AB2" s="26">
        <v>25</v>
      </c>
      <c r="AC2" s="26">
        <v>26</v>
      </c>
      <c r="AD2" s="26">
        <v>27</v>
      </c>
      <c r="AE2" s="26">
        <v>28</v>
      </c>
      <c r="AF2" s="26">
        <v>29</v>
      </c>
      <c r="AG2" s="26">
        <v>30</v>
      </c>
    </row>
    <row r="3" spans="2:33" x14ac:dyDescent="0.2">
      <c r="B3" s="44" t="s">
        <v>86</v>
      </c>
      <c r="C3" s="44" t="s">
        <v>64</v>
      </c>
      <c r="D3" s="45">
        <v>2022</v>
      </c>
      <c r="E3" s="45">
        <f>$D$3+D2</f>
        <v>2023</v>
      </c>
      <c r="F3" s="45">
        <f>$D$3+E2</f>
        <v>2024</v>
      </c>
      <c r="G3" s="45">
        <f>$D$3+F2</f>
        <v>2025</v>
      </c>
      <c r="H3" s="45">
        <f t="shared" ref="H3:AG3" si="0">$D$3+G2</f>
        <v>2026</v>
      </c>
      <c r="I3" s="46">
        <f t="shared" si="0"/>
        <v>2027</v>
      </c>
      <c r="J3" s="45">
        <f t="shared" si="0"/>
        <v>2028</v>
      </c>
      <c r="K3" s="45">
        <f t="shared" si="0"/>
        <v>2029</v>
      </c>
      <c r="L3" s="45">
        <f t="shared" si="0"/>
        <v>2030</v>
      </c>
      <c r="M3" s="45">
        <f t="shared" si="0"/>
        <v>2031</v>
      </c>
      <c r="N3" s="45">
        <f t="shared" si="0"/>
        <v>2032</v>
      </c>
      <c r="O3" s="45">
        <f t="shared" si="0"/>
        <v>2033</v>
      </c>
      <c r="P3" s="45">
        <f t="shared" si="0"/>
        <v>2034</v>
      </c>
      <c r="Q3" s="45">
        <f t="shared" si="0"/>
        <v>2035</v>
      </c>
      <c r="R3" s="45">
        <f t="shared" si="0"/>
        <v>2036</v>
      </c>
      <c r="S3" s="45">
        <f t="shared" si="0"/>
        <v>2037</v>
      </c>
      <c r="T3" s="45">
        <f t="shared" si="0"/>
        <v>2038</v>
      </c>
      <c r="U3" s="45">
        <f t="shared" si="0"/>
        <v>2039</v>
      </c>
      <c r="V3" s="45">
        <f t="shared" si="0"/>
        <v>2040</v>
      </c>
      <c r="W3" s="45">
        <f t="shared" si="0"/>
        <v>2041</v>
      </c>
      <c r="X3" s="45">
        <f t="shared" si="0"/>
        <v>2042</v>
      </c>
      <c r="Y3" s="45">
        <f t="shared" si="0"/>
        <v>2043</v>
      </c>
      <c r="Z3" s="45">
        <f t="shared" si="0"/>
        <v>2044</v>
      </c>
      <c r="AA3" s="45">
        <f t="shared" si="0"/>
        <v>2045</v>
      </c>
      <c r="AB3" s="45">
        <f t="shared" si="0"/>
        <v>2046</v>
      </c>
      <c r="AC3" s="45">
        <f t="shared" si="0"/>
        <v>2047</v>
      </c>
      <c r="AD3" s="45">
        <f t="shared" si="0"/>
        <v>2048</v>
      </c>
      <c r="AE3" s="45">
        <f t="shared" si="0"/>
        <v>2049</v>
      </c>
      <c r="AF3" s="45">
        <f t="shared" si="0"/>
        <v>2050</v>
      </c>
      <c r="AG3" s="45">
        <f t="shared" si="0"/>
        <v>2051</v>
      </c>
    </row>
    <row r="4" spans="2:33" x14ac:dyDescent="0.2">
      <c r="B4" s="26" t="s">
        <v>15</v>
      </c>
      <c r="C4" s="34">
        <f>SUM(D4:AG4)</f>
        <v>-43200000</v>
      </c>
      <c r="D4" s="47">
        <f>-Predpoklady!$C$19</f>
        <v>-1440000</v>
      </c>
      <c r="E4" s="47">
        <f>D4</f>
        <v>-1440000</v>
      </c>
      <c r="F4" s="47">
        <f t="shared" ref="F4:AG4" si="1">E4</f>
        <v>-1440000</v>
      </c>
      <c r="G4" s="47">
        <f t="shared" si="1"/>
        <v>-1440000</v>
      </c>
      <c r="H4" s="47">
        <f t="shared" si="1"/>
        <v>-1440000</v>
      </c>
      <c r="I4" s="48">
        <f t="shared" si="1"/>
        <v>-1440000</v>
      </c>
      <c r="J4" s="47">
        <f t="shared" si="1"/>
        <v>-1440000</v>
      </c>
      <c r="K4" s="47">
        <f t="shared" si="1"/>
        <v>-1440000</v>
      </c>
      <c r="L4" s="47">
        <f t="shared" si="1"/>
        <v>-1440000</v>
      </c>
      <c r="M4" s="47">
        <f t="shared" si="1"/>
        <v>-1440000</v>
      </c>
      <c r="N4" s="47">
        <f t="shared" si="1"/>
        <v>-1440000</v>
      </c>
      <c r="O4" s="47">
        <f t="shared" si="1"/>
        <v>-1440000</v>
      </c>
      <c r="P4" s="47">
        <f t="shared" si="1"/>
        <v>-1440000</v>
      </c>
      <c r="Q4" s="47">
        <f t="shared" si="1"/>
        <v>-1440000</v>
      </c>
      <c r="R4" s="47">
        <f t="shared" si="1"/>
        <v>-1440000</v>
      </c>
      <c r="S4" s="47">
        <f t="shared" si="1"/>
        <v>-1440000</v>
      </c>
      <c r="T4" s="47">
        <f t="shared" si="1"/>
        <v>-1440000</v>
      </c>
      <c r="U4" s="47">
        <f t="shared" si="1"/>
        <v>-1440000</v>
      </c>
      <c r="V4" s="47">
        <f t="shared" si="1"/>
        <v>-1440000</v>
      </c>
      <c r="W4" s="47">
        <f t="shared" si="1"/>
        <v>-1440000</v>
      </c>
      <c r="X4" s="47">
        <f t="shared" si="1"/>
        <v>-1440000</v>
      </c>
      <c r="Y4" s="47">
        <f t="shared" si="1"/>
        <v>-1440000</v>
      </c>
      <c r="Z4" s="47">
        <f t="shared" si="1"/>
        <v>-1440000</v>
      </c>
      <c r="AA4" s="47">
        <f t="shared" si="1"/>
        <v>-1440000</v>
      </c>
      <c r="AB4" s="47">
        <f t="shared" si="1"/>
        <v>-1440000</v>
      </c>
      <c r="AC4" s="47">
        <f t="shared" si="1"/>
        <v>-1440000</v>
      </c>
      <c r="AD4" s="47">
        <f t="shared" si="1"/>
        <v>-1440000</v>
      </c>
      <c r="AE4" s="47">
        <f t="shared" si="1"/>
        <v>-1440000</v>
      </c>
      <c r="AF4" s="47">
        <f t="shared" si="1"/>
        <v>-1440000</v>
      </c>
      <c r="AG4" s="47">
        <f t="shared" si="1"/>
        <v>-1440000</v>
      </c>
    </row>
    <row r="5" spans="2:33" x14ac:dyDescent="0.2">
      <c r="B5" s="26" t="s">
        <v>87</v>
      </c>
      <c r="C5" s="34">
        <f>SUM(D5:AG5)</f>
        <v>-3060000</v>
      </c>
      <c r="D5" s="47">
        <f>-Predpoklady!$C$24</f>
        <v>-102000</v>
      </c>
      <c r="E5" s="47">
        <f>D5</f>
        <v>-102000</v>
      </c>
      <c r="F5" s="47">
        <f t="shared" ref="F5:AG5" si="2">E5</f>
        <v>-102000</v>
      </c>
      <c r="G5" s="47">
        <f t="shared" si="2"/>
        <v>-102000</v>
      </c>
      <c r="H5" s="47">
        <f t="shared" si="2"/>
        <v>-102000</v>
      </c>
      <c r="I5" s="48">
        <f t="shared" si="2"/>
        <v>-102000</v>
      </c>
      <c r="J5" s="47">
        <f t="shared" si="2"/>
        <v>-102000</v>
      </c>
      <c r="K5" s="47">
        <f t="shared" si="2"/>
        <v>-102000</v>
      </c>
      <c r="L5" s="47">
        <f t="shared" si="2"/>
        <v>-102000</v>
      </c>
      <c r="M5" s="47">
        <f t="shared" si="2"/>
        <v>-102000</v>
      </c>
      <c r="N5" s="47">
        <f t="shared" si="2"/>
        <v>-102000</v>
      </c>
      <c r="O5" s="47">
        <f t="shared" si="2"/>
        <v>-102000</v>
      </c>
      <c r="P5" s="47">
        <f t="shared" si="2"/>
        <v>-102000</v>
      </c>
      <c r="Q5" s="47">
        <f t="shared" si="2"/>
        <v>-102000</v>
      </c>
      <c r="R5" s="47">
        <f t="shared" si="2"/>
        <v>-102000</v>
      </c>
      <c r="S5" s="47">
        <f t="shared" si="2"/>
        <v>-102000</v>
      </c>
      <c r="T5" s="47">
        <f t="shared" si="2"/>
        <v>-102000</v>
      </c>
      <c r="U5" s="47">
        <f t="shared" si="2"/>
        <v>-102000</v>
      </c>
      <c r="V5" s="47">
        <f t="shared" si="2"/>
        <v>-102000</v>
      </c>
      <c r="W5" s="47">
        <f t="shared" si="2"/>
        <v>-102000</v>
      </c>
      <c r="X5" s="47">
        <f t="shared" si="2"/>
        <v>-102000</v>
      </c>
      <c r="Y5" s="47">
        <f t="shared" si="2"/>
        <v>-102000</v>
      </c>
      <c r="Z5" s="47">
        <f t="shared" si="2"/>
        <v>-102000</v>
      </c>
      <c r="AA5" s="47">
        <f t="shared" si="2"/>
        <v>-102000</v>
      </c>
      <c r="AB5" s="47">
        <f t="shared" si="2"/>
        <v>-102000</v>
      </c>
      <c r="AC5" s="47">
        <f t="shared" si="2"/>
        <v>-102000</v>
      </c>
      <c r="AD5" s="47">
        <f t="shared" si="2"/>
        <v>-102000</v>
      </c>
      <c r="AE5" s="47">
        <f t="shared" si="2"/>
        <v>-102000</v>
      </c>
      <c r="AF5" s="47">
        <f t="shared" si="2"/>
        <v>-102000</v>
      </c>
      <c r="AG5" s="47">
        <f t="shared" si="2"/>
        <v>-102000</v>
      </c>
    </row>
    <row r="6" spans="2:33" x14ac:dyDescent="0.2">
      <c r="B6" s="26" t="s">
        <v>88</v>
      </c>
      <c r="C6" s="34">
        <f>SUM(D6:AG6)</f>
        <v>-16800000</v>
      </c>
      <c r="D6" s="47">
        <f>-Predpoklady!C31</f>
        <v>-560000</v>
      </c>
      <c r="E6" s="47">
        <f>D6</f>
        <v>-560000</v>
      </c>
      <c r="F6" s="47">
        <f t="shared" ref="F6:AG6" si="3">E6</f>
        <v>-560000</v>
      </c>
      <c r="G6" s="47">
        <f t="shared" si="3"/>
        <v>-560000</v>
      </c>
      <c r="H6" s="47">
        <f t="shared" si="3"/>
        <v>-560000</v>
      </c>
      <c r="I6" s="48">
        <f t="shared" si="3"/>
        <v>-560000</v>
      </c>
      <c r="J6" s="47">
        <f t="shared" si="3"/>
        <v>-560000</v>
      </c>
      <c r="K6" s="47">
        <f t="shared" si="3"/>
        <v>-560000</v>
      </c>
      <c r="L6" s="47">
        <f t="shared" si="3"/>
        <v>-560000</v>
      </c>
      <c r="M6" s="47">
        <f t="shared" si="3"/>
        <v>-560000</v>
      </c>
      <c r="N6" s="47">
        <f t="shared" si="3"/>
        <v>-560000</v>
      </c>
      <c r="O6" s="47">
        <f t="shared" si="3"/>
        <v>-560000</v>
      </c>
      <c r="P6" s="47">
        <f t="shared" si="3"/>
        <v>-560000</v>
      </c>
      <c r="Q6" s="47">
        <f t="shared" si="3"/>
        <v>-560000</v>
      </c>
      <c r="R6" s="47">
        <f t="shared" si="3"/>
        <v>-560000</v>
      </c>
      <c r="S6" s="47">
        <f t="shared" si="3"/>
        <v>-560000</v>
      </c>
      <c r="T6" s="47">
        <f t="shared" si="3"/>
        <v>-560000</v>
      </c>
      <c r="U6" s="47">
        <f t="shared" si="3"/>
        <v>-560000</v>
      </c>
      <c r="V6" s="47">
        <f t="shared" si="3"/>
        <v>-560000</v>
      </c>
      <c r="W6" s="47">
        <f t="shared" si="3"/>
        <v>-560000</v>
      </c>
      <c r="X6" s="47">
        <f t="shared" si="3"/>
        <v>-560000</v>
      </c>
      <c r="Y6" s="47">
        <f t="shared" si="3"/>
        <v>-560000</v>
      </c>
      <c r="Z6" s="47">
        <f t="shared" si="3"/>
        <v>-560000</v>
      </c>
      <c r="AA6" s="47">
        <f t="shared" si="3"/>
        <v>-560000</v>
      </c>
      <c r="AB6" s="47">
        <f t="shared" si="3"/>
        <v>-560000</v>
      </c>
      <c r="AC6" s="47">
        <f t="shared" si="3"/>
        <v>-560000</v>
      </c>
      <c r="AD6" s="47">
        <f t="shared" si="3"/>
        <v>-560000</v>
      </c>
      <c r="AE6" s="47">
        <f t="shared" si="3"/>
        <v>-560000</v>
      </c>
      <c r="AF6" s="47">
        <f t="shared" si="3"/>
        <v>-560000</v>
      </c>
      <c r="AG6" s="47">
        <f t="shared" si="3"/>
        <v>-560000</v>
      </c>
    </row>
    <row r="7" spans="2:33" x14ac:dyDescent="0.2">
      <c r="B7" s="26" t="s">
        <v>89</v>
      </c>
      <c r="C7" s="34">
        <f>SUM(D7:AG7)</f>
        <v>-2352000</v>
      </c>
      <c r="D7" s="47">
        <f>-Predpoklady!$C$28</f>
        <v>-78400</v>
      </c>
      <c r="E7" s="47">
        <f>D7</f>
        <v>-78400</v>
      </c>
      <c r="F7" s="47">
        <f t="shared" ref="F7:AG7" si="4">E7</f>
        <v>-78400</v>
      </c>
      <c r="G7" s="47">
        <f t="shared" si="4"/>
        <v>-78400</v>
      </c>
      <c r="H7" s="47">
        <f t="shared" si="4"/>
        <v>-78400</v>
      </c>
      <c r="I7" s="48">
        <f t="shared" si="4"/>
        <v>-78400</v>
      </c>
      <c r="J7" s="47">
        <f t="shared" si="4"/>
        <v>-78400</v>
      </c>
      <c r="K7" s="47">
        <f t="shared" si="4"/>
        <v>-78400</v>
      </c>
      <c r="L7" s="47">
        <f t="shared" si="4"/>
        <v>-78400</v>
      </c>
      <c r="M7" s="47">
        <f t="shared" si="4"/>
        <v>-78400</v>
      </c>
      <c r="N7" s="47">
        <f t="shared" si="4"/>
        <v>-78400</v>
      </c>
      <c r="O7" s="47">
        <f t="shared" si="4"/>
        <v>-78400</v>
      </c>
      <c r="P7" s="47">
        <f t="shared" si="4"/>
        <v>-78400</v>
      </c>
      <c r="Q7" s="47">
        <f t="shared" si="4"/>
        <v>-78400</v>
      </c>
      <c r="R7" s="47">
        <f t="shared" si="4"/>
        <v>-78400</v>
      </c>
      <c r="S7" s="47">
        <f t="shared" si="4"/>
        <v>-78400</v>
      </c>
      <c r="T7" s="47">
        <f t="shared" si="4"/>
        <v>-78400</v>
      </c>
      <c r="U7" s="47">
        <f t="shared" si="4"/>
        <v>-78400</v>
      </c>
      <c r="V7" s="47">
        <f t="shared" si="4"/>
        <v>-78400</v>
      </c>
      <c r="W7" s="47">
        <f t="shared" si="4"/>
        <v>-78400</v>
      </c>
      <c r="X7" s="47">
        <f t="shared" si="4"/>
        <v>-78400</v>
      </c>
      <c r="Y7" s="47">
        <f t="shared" si="4"/>
        <v>-78400</v>
      </c>
      <c r="Z7" s="47">
        <f t="shared" si="4"/>
        <v>-78400</v>
      </c>
      <c r="AA7" s="47">
        <f t="shared" si="4"/>
        <v>-78400</v>
      </c>
      <c r="AB7" s="47">
        <f t="shared" si="4"/>
        <v>-78400</v>
      </c>
      <c r="AC7" s="47">
        <f t="shared" si="4"/>
        <v>-78400</v>
      </c>
      <c r="AD7" s="47">
        <f t="shared" si="4"/>
        <v>-78400</v>
      </c>
      <c r="AE7" s="47">
        <f t="shared" si="4"/>
        <v>-78400</v>
      </c>
      <c r="AF7" s="47">
        <f t="shared" si="4"/>
        <v>-78400</v>
      </c>
      <c r="AG7" s="47">
        <f t="shared" si="4"/>
        <v>-78400</v>
      </c>
    </row>
    <row r="8" spans="2:33" x14ac:dyDescent="0.2">
      <c r="B8" s="25" t="s">
        <v>90</v>
      </c>
      <c r="C8" s="37">
        <f t="shared" ref="C8" si="5">SUM(D8:AG8)</f>
        <v>-65412000</v>
      </c>
      <c r="D8" s="37">
        <f>SUM(D4:D7)</f>
        <v>-2180400</v>
      </c>
      <c r="E8" s="37">
        <f t="shared" ref="E8:AG8" si="6">SUM(E4:E7)</f>
        <v>-2180400</v>
      </c>
      <c r="F8" s="37">
        <f t="shared" si="6"/>
        <v>-2180400</v>
      </c>
      <c r="G8" s="37">
        <f t="shared" si="6"/>
        <v>-2180400</v>
      </c>
      <c r="H8" s="37">
        <f t="shared" si="6"/>
        <v>-2180400</v>
      </c>
      <c r="I8" s="49">
        <f t="shared" si="6"/>
        <v>-2180400</v>
      </c>
      <c r="J8" s="37">
        <f t="shared" si="6"/>
        <v>-2180400</v>
      </c>
      <c r="K8" s="37">
        <f t="shared" si="6"/>
        <v>-2180400</v>
      </c>
      <c r="L8" s="37">
        <f t="shared" si="6"/>
        <v>-2180400</v>
      </c>
      <c r="M8" s="37">
        <f t="shared" si="6"/>
        <v>-2180400</v>
      </c>
      <c r="N8" s="37">
        <f t="shared" si="6"/>
        <v>-2180400</v>
      </c>
      <c r="O8" s="37">
        <f t="shared" si="6"/>
        <v>-2180400</v>
      </c>
      <c r="P8" s="37">
        <f t="shared" si="6"/>
        <v>-2180400</v>
      </c>
      <c r="Q8" s="37">
        <f t="shared" si="6"/>
        <v>-2180400</v>
      </c>
      <c r="R8" s="37">
        <f t="shared" si="6"/>
        <v>-2180400</v>
      </c>
      <c r="S8" s="37">
        <f t="shared" si="6"/>
        <v>-2180400</v>
      </c>
      <c r="T8" s="37">
        <f t="shared" si="6"/>
        <v>-2180400</v>
      </c>
      <c r="U8" s="37">
        <f t="shared" si="6"/>
        <v>-2180400</v>
      </c>
      <c r="V8" s="37">
        <f t="shared" si="6"/>
        <v>-2180400</v>
      </c>
      <c r="W8" s="37">
        <f t="shared" si="6"/>
        <v>-2180400</v>
      </c>
      <c r="X8" s="37">
        <f t="shared" si="6"/>
        <v>-2180400</v>
      </c>
      <c r="Y8" s="37">
        <f t="shared" si="6"/>
        <v>-2180400</v>
      </c>
      <c r="Z8" s="37">
        <f t="shared" si="6"/>
        <v>-2180400</v>
      </c>
      <c r="AA8" s="37">
        <f t="shared" si="6"/>
        <v>-2180400</v>
      </c>
      <c r="AB8" s="37">
        <f t="shared" si="6"/>
        <v>-2180400</v>
      </c>
      <c r="AC8" s="37">
        <f t="shared" si="6"/>
        <v>-2180400</v>
      </c>
      <c r="AD8" s="37">
        <f t="shared" si="6"/>
        <v>-2180400</v>
      </c>
      <c r="AE8" s="37">
        <f t="shared" si="6"/>
        <v>-2180400</v>
      </c>
      <c r="AF8" s="37">
        <f t="shared" si="6"/>
        <v>-2180400</v>
      </c>
      <c r="AG8" s="37">
        <f t="shared" si="6"/>
        <v>-2180400</v>
      </c>
    </row>
    <row r="9" spans="2:33" x14ac:dyDescent="0.2">
      <c r="I9" s="43"/>
    </row>
    <row r="10" spans="2:33" x14ac:dyDescent="0.2">
      <c r="B10" s="25" t="s">
        <v>83</v>
      </c>
      <c r="C10" s="25"/>
      <c r="D10" s="50">
        <v>1</v>
      </c>
      <c r="E10" s="50">
        <v>2</v>
      </c>
      <c r="F10" s="50">
        <v>3</v>
      </c>
      <c r="G10" s="50">
        <v>4</v>
      </c>
      <c r="H10" s="50">
        <v>5</v>
      </c>
      <c r="I10" s="51">
        <v>6</v>
      </c>
      <c r="J10" s="50">
        <v>7</v>
      </c>
      <c r="K10" s="50">
        <v>8</v>
      </c>
      <c r="L10" s="50">
        <v>9</v>
      </c>
      <c r="M10" s="50">
        <v>10</v>
      </c>
      <c r="N10" s="50">
        <v>11</v>
      </c>
      <c r="O10" s="50">
        <v>12</v>
      </c>
      <c r="P10" s="50">
        <v>13</v>
      </c>
      <c r="Q10" s="50">
        <v>14</v>
      </c>
      <c r="R10" s="50">
        <v>15</v>
      </c>
      <c r="S10" s="50">
        <v>16</v>
      </c>
      <c r="T10" s="50">
        <v>17</v>
      </c>
      <c r="U10" s="50">
        <v>18</v>
      </c>
      <c r="V10" s="50">
        <v>19</v>
      </c>
      <c r="W10" s="50">
        <v>20</v>
      </c>
      <c r="X10" s="50">
        <v>21</v>
      </c>
      <c r="Y10" s="50">
        <v>22</v>
      </c>
      <c r="Z10" s="50">
        <v>23</v>
      </c>
      <c r="AA10" s="50">
        <v>24</v>
      </c>
      <c r="AB10" s="50">
        <v>25</v>
      </c>
      <c r="AC10" s="50">
        <v>26</v>
      </c>
      <c r="AD10" s="50">
        <v>27</v>
      </c>
      <c r="AE10" s="50">
        <v>28</v>
      </c>
      <c r="AF10" s="50">
        <v>29</v>
      </c>
      <c r="AG10" s="50">
        <v>30</v>
      </c>
    </row>
    <row r="11" spans="2:33" x14ac:dyDescent="0.2">
      <c r="B11" s="44" t="s">
        <v>91</v>
      </c>
      <c r="C11" s="44" t="s">
        <v>64</v>
      </c>
      <c r="D11" s="45">
        <f>D3</f>
        <v>2022</v>
      </c>
      <c r="E11" s="45">
        <f>$D$3+D10</f>
        <v>2023</v>
      </c>
      <c r="F11" s="45">
        <f>$D$3+E10</f>
        <v>2024</v>
      </c>
      <c r="G11" s="45">
        <f>$D$3+F10</f>
        <v>2025</v>
      </c>
      <c r="H11" s="45">
        <f t="shared" ref="H11:AG11" si="7">$D$3+G10</f>
        <v>2026</v>
      </c>
      <c r="I11" s="46">
        <f t="shared" si="7"/>
        <v>2027</v>
      </c>
      <c r="J11" s="45">
        <f t="shared" si="7"/>
        <v>2028</v>
      </c>
      <c r="K11" s="45">
        <f t="shared" si="7"/>
        <v>2029</v>
      </c>
      <c r="L11" s="45">
        <f t="shared" si="7"/>
        <v>2030</v>
      </c>
      <c r="M11" s="45">
        <f t="shared" si="7"/>
        <v>2031</v>
      </c>
      <c r="N11" s="45">
        <f t="shared" si="7"/>
        <v>2032</v>
      </c>
      <c r="O11" s="45">
        <f t="shared" si="7"/>
        <v>2033</v>
      </c>
      <c r="P11" s="45">
        <f t="shared" si="7"/>
        <v>2034</v>
      </c>
      <c r="Q11" s="45">
        <f t="shared" si="7"/>
        <v>2035</v>
      </c>
      <c r="R11" s="45">
        <f t="shared" si="7"/>
        <v>2036</v>
      </c>
      <c r="S11" s="45">
        <f t="shared" si="7"/>
        <v>2037</v>
      </c>
      <c r="T11" s="45">
        <f t="shared" si="7"/>
        <v>2038</v>
      </c>
      <c r="U11" s="45">
        <f t="shared" si="7"/>
        <v>2039</v>
      </c>
      <c r="V11" s="45">
        <f t="shared" si="7"/>
        <v>2040</v>
      </c>
      <c r="W11" s="45">
        <f t="shared" si="7"/>
        <v>2041</v>
      </c>
      <c r="X11" s="45">
        <f t="shared" si="7"/>
        <v>2042</v>
      </c>
      <c r="Y11" s="45">
        <f t="shared" si="7"/>
        <v>2043</v>
      </c>
      <c r="Z11" s="45">
        <f t="shared" si="7"/>
        <v>2044</v>
      </c>
      <c r="AA11" s="45">
        <f t="shared" si="7"/>
        <v>2045</v>
      </c>
      <c r="AB11" s="45">
        <f t="shared" si="7"/>
        <v>2046</v>
      </c>
      <c r="AC11" s="45">
        <f t="shared" si="7"/>
        <v>2047</v>
      </c>
      <c r="AD11" s="45">
        <f t="shared" si="7"/>
        <v>2048</v>
      </c>
      <c r="AE11" s="45">
        <f t="shared" si="7"/>
        <v>2049</v>
      </c>
      <c r="AF11" s="45">
        <f t="shared" si="7"/>
        <v>2050</v>
      </c>
      <c r="AG11" s="45">
        <f t="shared" si="7"/>
        <v>2051</v>
      </c>
    </row>
    <row r="12" spans="2:33" x14ac:dyDescent="0.2">
      <c r="B12" s="26" t="s">
        <v>15</v>
      </c>
      <c r="C12" s="34">
        <f>SUM(D12:AG12)</f>
        <v>-7200000</v>
      </c>
      <c r="D12" s="47">
        <f>D4</f>
        <v>-1440000</v>
      </c>
      <c r="E12" s="47">
        <f t="shared" ref="E12:H12" si="8">E4</f>
        <v>-1440000</v>
      </c>
      <c r="F12" s="47">
        <f t="shared" si="8"/>
        <v>-1440000</v>
      </c>
      <c r="G12" s="47">
        <f t="shared" si="8"/>
        <v>-1440000</v>
      </c>
      <c r="H12" s="47">
        <f t="shared" si="8"/>
        <v>-1440000</v>
      </c>
      <c r="I12" s="48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>
        <v>0</v>
      </c>
      <c r="AD12" s="47">
        <v>0</v>
      </c>
      <c r="AE12" s="47">
        <v>0</v>
      </c>
      <c r="AF12" s="47">
        <v>0</v>
      </c>
      <c r="AG12" s="47">
        <v>0</v>
      </c>
    </row>
    <row r="13" spans="2:33" x14ac:dyDescent="0.2">
      <c r="B13" s="26" t="s">
        <v>87</v>
      </c>
      <c r="C13" s="34">
        <f>SUM(D13:AG13)</f>
        <v>-510000</v>
      </c>
      <c r="D13" s="47">
        <f t="shared" ref="D13:H13" si="9">D5</f>
        <v>-102000</v>
      </c>
      <c r="E13" s="47">
        <f t="shared" si="9"/>
        <v>-102000</v>
      </c>
      <c r="F13" s="47">
        <f t="shared" si="9"/>
        <v>-102000</v>
      </c>
      <c r="G13" s="47">
        <f t="shared" si="9"/>
        <v>-102000</v>
      </c>
      <c r="H13" s="47">
        <f t="shared" si="9"/>
        <v>-102000</v>
      </c>
      <c r="I13" s="48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</row>
    <row r="14" spans="2:33" x14ac:dyDescent="0.2">
      <c r="B14" s="26" t="s">
        <v>88</v>
      </c>
      <c r="C14" s="34">
        <f>SUM(D14:AG14)</f>
        <v>-16350000</v>
      </c>
      <c r="D14" s="47">
        <f t="shared" ref="D14:H15" si="10">D6</f>
        <v>-560000</v>
      </c>
      <c r="E14" s="47">
        <f t="shared" si="10"/>
        <v>-560000</v>
      </c>
      <c r="F14" s="47">
        <f t="shared" si="10"/>
        <v>-560000</v>
      </c>
      <c r="G14" s="47">
        <f t="shared" si="10"/>
        <v>-560000</v>
      </c>
      <c r="H14" s="47">
        <f t="shared" si="10"/>
        <v>-560000</v>
      </c>
      <c r="I14" s="48">
        <f>-Predpoklady!$C$61</f>
        <v>-542000</v>
      </c>
      <c r="J14" s="47">
        <f>-Predpoklady!$C$61</f>
        <v>-542000</v>
      </c>
      <c r="K14" s="47">
        <f>-Predpoklady!$C$61</f>
        <v>-542000</v>
      </c>
      <c r="L14" s="47">
        <f>-Predpoklady!$C$61</f>
        <v>-542000</v>
      </c>
      <c r="M14" s="47">
        <f>-Predpoklady!$C$61</f>
        <v>-542000</v>
      </c>
      <c r="N14" s="47">
        <f>-Predpoklady!$C$61</f>
        <v>-542000</v>
      </c>
      <c r="O14" s="47">
        <f>-Predpoklady!$C$61</f>
        <v>-542000</v>
      </c>
      <c r="P14" s="47">
        <f>-Predpoklady!$C$61</f>
        <v>-542000</v>
      </c>
      <c r="Q14" s="47">
        <f>-Predpoklady!$C$61</f>
        <v>-542000</v>
      </c>
      <c r="R14" s="47">
        <f>-Predpoklady!$C$61</f>
        <v>-542000</v>
      </c>
      <c r="S14" s="47">
        <f>-Predpoklady!$C$61</f>
        <v>-542000</v>
      </c>
      <c r="T14" s="47">
        <f>-Predpoklady!$C$61</f>
        <v>-542000</v>
      </c>
      <c r="U14" s="47">
        <f>-Predpoklady!$C$61</f>
        <v>-542000</v>
      </c>
      <c r="V14" s="47">
        <f>-Predpoklady!$C$61</f>
        <v>-542000</v>
      </c>
      <c r="W14" s="47">
        <f>-Predpoklady!$C$61</f>
        <v>-542000</v>
      </c>
      <c r="X14" s="47">
        <f>-Predpoklady!$C$61</f>
        <v>-542000</v>
      </c>
      <c r="Y14" s="47">
        <f>-Predpoklady!$C$61</f>
        <v>-542000</v>
      </c>
      <c r="Z14" s="47">
        <f>-Predpoklady!$C$61</f>
        <v>-542000</v>
      </c>
      <c r="AA14" s="47">
        <f>-Predpoklady!$C$61</f>
        <v>-542000</v>
      </c>
      <c r="AB14" s="47">
        <f>-Predpoklady!$C$61</f>
        <v>-542000</v>
      </c>
      <c r="AC14" s="47">
        <f>-Predpoklady!$C$61</f>
        <v>-542000</v>
      </c>
      <c r="AD14" s="47">
        <f>-Predpoklady!$C$61</f>
        <v>-542000</v>
      </c>
      <c r="AE14" s="47">
        <f>-Predpoklady!$C$61</f>
        <v>-542000</v>
      </c>
      <c r="AF14" s="47">
        <f>-Predpoklady!$C$61</f>
        <v>-542000</v>
      </c>
      <c r="AG14" s="47">
        <f>-Predpoklady!$C$61</f>
        <v>-542000</v>
      </c>
    </row>
    <row r="15" spans="2:33" x14ac:dyDescent="0.2">
      <c r="B15" s="26" t="s">
        <v>89</v>
      </c>
      <c r="C15" s="34">
        <f>SUM(D15:AG15)</f>
        <v>-1568000</v>
      </c>
      <c r="D15" s="47">
        <f t="shared" si="10"/>
        <v>-78400</v>
      </c>
      <c r="E15" s="47">
        <f t="shared" si="10"/>
        <v>-78400</v>
      </c>
      <c r="F15" s="47">
        <f t="shared" si="10"/>
        <v>-78400</v>
      </c>
      <c r="G15" s="47">
        <f t="shared" si="10"/>
        <v>-78400</v>
      </c>
      <c r="H15" s="47">
        <f t="shared" si="10"/>
        <v>-78400</v>
      </c>
      <c r="I15" s="48">
        <f>-Predpoklady!C58</f>
        <v>-47040</v>
      </c>
      <c r="J15" s="47">
        <f>I15</f>
        <v>-47040</v>
      </c>
      <c r="K15" s="47">
        <f t="shared" ref="K15:AG15" si="11">J15</f>
        <v>-47040</v>
      </c>
      <c r="L15" s="47">
        <f t="shared" si="11"/>
        <v>-47040</v>
      </c>
      <c r="M15" s="47">
        <f t="shared" si="11"/>
        <v>-47040</v>
      </c>
      <c r="N15" s="47">
        <f t="shared" si="11"/>
        <v>-47040</v>
      </c>
      <c r="O15" s="47">
        <f t="shared" si="11"/>
        <v>-47040</v>
      </c>
      <c r="P15" s="47">
        <f t="shared" si="11"/>
        <v>-47040</v>
      </c>
      <c r="Q15" s="47">
        <f t="shared" si="11"/>
        <v>-47040</v>
      </c>
      <c r="R15" s="47">
        <f t="shared" si="11"/>
        <v>-47040</v>
      </c>
      <c r="S15" s="47">
        <f t="shared" si="11"/>
        <v>-47040</v>
      </c>
      <c r="T15" s="47">
        <f t="shared" si="11"/>
        <v>-47040</v>
      </c>
      <c r="U15" s="47">
        <f t="shared" si="11"/>
        <v>-47040</v>
      </c>
      <c r="V15" s="47">
        <f t="shared" si="11"/>
        <v>-47040</v>
      </c>
      <c r="W15" s="47">
        <f t="shared" si="11"/>
        <v>-47040</v>
      </c>
      <c r="X15" s="47">
        <f t="shared" si="11"/>
        <v>-47040</v>
      </c>
      <c r="Y15" s="47">
        <f t="shared" si="11"/>
        <v>-47040</v>
      </c>
      <c r="Z15" s="47">
        <f t="shared" si="11"/>
        <v>-47040</v>
      </c>
      <c r="AA15" s="47">
        <f t="shared" si="11"/>
        <v>-47040</v>
      </c>
      <c r="AB15" s="47">
        <f t="shared" si="11"/>
        <v>-47040</v>
      </c>
      <c r="AC15" s="47">
        <f t="shared" si="11"/>
        <v>-47040</v>
      </c>
      <c r="AD15" s="47">
        <f t="shared" si="11"/>
        <v>-47040</v>
      </c>
      <c r="AE15" s="47">
        <f t="shared" si="11"/>
        <v>-47040</v>
      </c>
      <c r="AF15" s="47">
        <f t="shared" si="11"/>
        <v>-47040</v>
      </c>
      <c r="AG15" s="47">
        <f t="shared" si="11"/>
        <v>-47040</v>
      </c>
    </row>
    <row r="16" spans="2:33" x14ac:dyDescent="0.2">
      <c r="B16" s="25" t="s">
        <v>90</v>
      </c>
      <c r="C16" s="37">
        <f t="shared" ref="C16" si="12">SUM(D16:AG16)</f>
        <v>-25628000</v>
      </c>
      <c r="D16" s="37">
        <f>SUM(D12:D15)</f>
        <v>-2180400</v>
      </c>
      <c r="E16" s="37">
        <f t="shared" ref="E16:AG16" si="13">SUM(E12:E15)</f>
        <v>-2180400</v>
      </c>
      <c r="F16" s="37">
        <f t="shared" si="13"/>
        <v>-2180400</v>
      </c>
      <c r="G16" s="37">
        <f t="shared" si="13"/>
        <v>-2180400</v>
      </c>
      <c r="H16" s="37">
        <f t="shared" si="13"/>
        <v>-2180400</v>
      </c>
      <c r="I16" s="49">
        <f t="shared" si="13"/>
        <v>-589040</v>
      </c>
      <c r="J16" s="37">
        <f t="shared" si="13"/>
        <v>-589040</v>
      </c>
      <c r="K16" s="37">
        <f t="shared" si="13"/>
        <v>-589040</v>
      </c>
      <c r="L16" s="37">
        <f t="shared" si="13"/>
        <v>-589040</v>
      </c>
      <c r="M16" s="37">
        <f t="shared" si="13"/>
        <v>-589040</v>
      </c>
      <c r="N16" s="37">
        <f t="shared" si="13"/>
        <v>-589040</v>
      </c>
      <c r="O16" s="37">
        <f t="shared" si="13"/>
        <v>-589040</v>
      </c>
      <c r="P16" s="37">
        <f t="shared" si="13"/>
        <v>-589040</v>
      </c>
      <c r="Q16" s="37">
        <f t="shared" si="13"/>
        <v>-589040</v>
      </c>
      <c r="R16" s="37">
        <f t="shared" si="13"/>
        <v>-589040</v>
      </c>
      <c r="S16" s="37">
        <f t="shared" si="13"/>
        <v>-589040</v>
      </c>
      <c r="T16" s="37">
        <f t="shared" si="13"/>
        <v>-589040</v>
      </c>
      <c r="U16" s="37">
        <f t="shared" si="13"/>
        <v>-589040</v>
      </c>
      <c r="V16" s="37">
        <f t="shared" si="13"/>
        <v>-589040</v>
      </c>
      <c r="W16" s="37">
        <f t="shared" si="13"/>
        <v>-589040</v>
      </c>
      <c r="X16" s="37">
        <f t="shared" si="13"/>
        <v>-589040</v>
      </c>
      <c r="Y16" s="37">
        <f t="shared" si="13"/>
        <v>-589040</v>
      </c>
      <c r="Z16" s="37">
        <f t="shared" si="13"/>
        <v>-589040</v>
      </c>
      <c r="AA16" s="37">
        <f t="shared" si="13"/>
        <v>-589040</v>
      </c>
      <c r="AB16" s="37">
        <f t="shared" si="13"/>
        <v>-589040</v>
      </c>
      <c r="AC16" s="37">
        <f t="shared" si="13"/>
        <v>-589040</v>
      </c>
      <c r="AD16" s="37">
        <f t="shared" si="13"/>
        <v>-589040</v>
      </c>
      <c r="AE16" s="37">
        <f t="shared" si="13"/>
        <v>-589040</v>
      </c>
      <c r="AF16" s="37">
        <f t="shared" si="13"/>
        <v>-589040</v>
      </c>
      <c r="AG16" s="37">
        <f t="shared" si="13"/>
        <v>-589040</v>
      </c>
    </row>
    <row r="17" spans="2:33" x14ac:dyDescent="0.2">
      <c r="I17" s="43"/>
    </row>
    <row r="18" spans="2:33" x14ac:dyDescent="0.2">
      <c r="B18" s="25" t="s">
        <v>84</v>
      </c>
      <c r="C18" s="25"/>
      <c r="D18" s="50">
        <v>1</v>
      </c>
      <c r="E18" s="50">
        <v>2</v>
      </c>
      <c r="F18" s="50">
        <v>3</v>
      </c>
      <c r="G18" s="50">
        <v>4</v>
      </c>
      <c r="H18" s="50">
        <v>5</v>
      </c>
      <c r="I18" s="51">
        <v>6</v>
      </c>
      <c r="J18" s="50">
        <v>7</v>
      </c>
      <c r="K18" s="50">
        <v>8</v>
      </c>
      <c r="L18" s="50">
        <v>9</v>
      </c>
      <c r="M18" s="50">
        <v>10</v>
      </c>
      <c r="N18" s="50">
        <v>11</v>
      </c>
      <c r="O18" s="50">
        <v>12</v>
      </c>
      <c r="P18" s="50">
        <v>13</v>
      </c>
      <c r="Q18" s="50">
        <v>14</v>
      </c>
      <c r="R18" s="50">
        <v>15</v>
      </c>
      <c r="S18" s="50">
        <v>16</v>
      </c>
      <c r="T18" s="50">
        <v>17</v>
      </c>
      <c r="U18" s="50">
        <v>18</v>
      </c>
      <c r="V18" s="50">
        <v>19</v>
      </c>
      <c r="W18" s="50">
        <v>20</v>
      </c>
      <c r="X18" s="50">
        <v>21</v>
      </c>
      <c r="Y18" s="50">
        <v>22</v>
      </c>
      <c r="Z18" s="50">
        <v>23</v>
      </c>
      <c r="AA18" s="50">
        <v>24</v>
      </c>
      <c r="AB18" s="50">
        <v>25</v>
      </c>
      <c r="AC18" s="50">
        <v>26</v>
      </c>
      <c r="AD18" s="50">
        <v>27</v>
      </c>
      <c r="AE18" s="50">
        <v>28</v>
      </c>
      <c r="AF18" s="50">
        <v>29</v>
      </c>
      <c r="AG18" s="50">
        <v>30</v>
      </c>
    </row>
    <row r="19" spans="2:33" x14ac:dyDescent="0.2">
      <c r="B19" s="44" t="s">
        <v>92</v>
      </c>
      <c r="C19" s="44" t="s">
        <v>64</v>
      </c>
      <c r="D19" s="45">
        <f>D11</f>
        <v>2022</v>
      </c>
      <c r="E19" s="45">
        <f>$D$3+D18</f>
        <v>2023</v>
      </c>
      <c r="F19" s="45">
        <f>$D$3+E18</f>
        <v>2024</v>
      </c>
      <c r="G19" s="45">
        <f>$D$3+F18</f>
        <v>2025</v>
      </c>
      <c r="H19" s="45">
        <f t="shared" ref="H19" si="14">$D$3+G18</f>
        <v>2026</v>
      </c>
      <c r="I19" s="46">
        <f t="shared" ref="I19" si="15">$D$3+H18</f>
        <v>2027</v>
      </c>
      <c r="J19" s="45">
        <f t="shared" ref="J19" si="16">$D$3+I18</f>
        <v>2028</v>
      </c>
      <c r="K19" s="45">
        <f t="shared" ref="K19" si="17">$D$3+J18</f>
        <v>2029</v>
      </c>
      <c r="L19" s="45">
        <f t="shared" ref="L19" si="18">$D$3+K18</f>
        <v>2030</v>
      </c>
      <c r="M19" s="45">
        <f t="shared" ref="M19" si="19">$D$3+L18</f>
        <v>2031</v>
      </c>
      <c r="N19" s="45">
        <f t="shared" ref="N19" si="20">$D$3+M18</f>
        <v>2032</v>
      </c>
      <c r="O19" s="45">
        <f t="shared" ref="O19" si="21">$D$3+N18</f>
        <v>2033</v>
      </c>
      <c r="P19" s="45">
        <f t="shared" ref="P19" si="22">$D$3+O18</f>
        <v>2034</v>
      </c>
      <c r="Q19" s="45">
        <f t="shared" ref="Q19" si="23">$D$3+P18</f>
        <v>2035</v>
      </c>
      <c r="R19" s="45">
        <f t="shared" ref="R19" si="24">$D$3+Q18</f>
        <v>2036</v>
      </c>
      <c r="S19" s="45">
        <f t="shared" ref="S19" si="25">$D$3+R18</f>
        <v>2037</v>
      </c>
      <c r="T19" s="45">
        <f t="shared" ref="T19" si="26">$D$3+S18</f>
        <v>2038</v>
      </c>
      <c r="U19" s="45">
        <f t="shared" ref="U19" si="27">$D$3+T18</f>
        <v>2039</v>
      </c>
      <c r="V19" s="45">
        <f t="shared" ref="V19" si="28">$D$3+U18</f>
        <v>2040</v>
      </c>
      <c r="W19" s="45">
        <f t="shared" ref="W19" si="29">$D$3+V18</f>
        <v>2041</v>
      </c>
      <c r="X19" s="45">
        <f t="shared" ref="X19" si="30">$D$3+W18</f>
        <v>2042</v>
      </c>
      <c r="Y19" s="45">
        <f t="shared" ref="Y19" si="31">$D$3+X18</f>
        <v>2043</v>
      </c>
      <c r="Z19" s="45">
        <f t="shared" ref="Z19" si="32">$D$3+Y18</f>
        <v>2044</v>
      </c>
      <c r="AA19" s="45">
        <f t="shared" ref="AA19" si="33">$D$3+Z18</f>
        <v>2045</v>
      </c>
      <c r="AB19" s="45">
        <f t="shared" ref="AB19" si="34">$D$3+AA18</f>
        <v>2046</v>
      </c>
      <c r="AC19" s="45">
        <f t="shared" ref="AC19" si="35">$D$3+AB18</f>
        <v>2047</v>
      </c>
      <c r="AD19" s="45">
        <f t="shared" ref="AD19" si="36">$D$3+AC18</f>
        <v>2048</v>
      </c>
      <c r="AE19" s="45">
        <f t="shared" ref="AE19" si="37">$D$3+AD18</f>
        <v>2049</v>
      </c>
      <c r="AF19" s="45">
        <f t="shared" ref="AF19" si="38">$D$3+AE18</f>
        <v>2050</v>
      </c>
      <c r="AG19" s="45">
        <f t="shared" ref="AG19" si="39">$D$3+AF18</f>
        <v>2051</v>
      </c>
    </row>
    <row r="20" spans="2:33" x14ac:dyDescent="0.2">
      <c r="B20" s="26" t="s">
        <v>15</v>
      </c>
      <c r="C20" s="34">
        <f>SUM(D20:AG20)</f>
        <v>-37800000</v>
      </c>
      <c r="D20" s="47">
        <f>-Predpoklady!C73</f>
        <v>-1260000</v>
      </c>
      <c r="E20" s="47">
        <f>D20</f>
        <v>-1260000</v>
      </c>
      <c r="F20" s="47">
        <f t="shared" ref="F20:AG20" si="40">E20</f>
        <v>-1260000</v>
      </c>
      <c r="G20" s="47">
        <f t="shared" si="40"/>
        <v>-1260000</v>
      </c>
      <c r="H20" s="47">
        <f t="shared" si="40"/>
        <v>-1260000</v>
      </c>
      <c r="I20" s="48">
        <f t="shared" si="40"/>
        <v>-1260000</v>
      </c>
      <c r="J20" s="47">
        <f t="shared" si="40"/>
        <v>-1260000</v>
      </c>
      <c r="K20" s="47">
        <f t="shared" si="40"/>
        <v>-1260000</v>
      </c>
      <c r="L20" s="47">
        <f t="shared" si="40"/>
        <v>-1260000</v>
      </c>
      <c r="M20" s="47">
        <f t="shared" si="40"/>
        <v>-1260000</v>
      </c>
      <c r="N20" s="47">
        <f t="shared" si="40"/>
        <v>-1260000</v>
      </c>
      <c r="O20" s="47">
        <f t="shared" si="40"/>
        <v>-1260000</v>
      </c>
      <c r="P20" s="47">
        <f t="shared" si="40"/>
        <v>-1260000</v>
      </c>
      <c r="Q20" s="47">
        <f t="shared" si="40"/>
        <v>-1260000</v>
      </c>
      <c r="R20" s="47">
        <f t="shared" si="40"/>
        <v>-1260000</v>
      </c>
      <c r="S20" s="47">
        <f t="shared" si="40"/>
        <v>-1260000</v>
      </c>
      <c r="T20" s="47">
        <f t="shared" si="40"/>
        <v>-1260000</v>
      </c>
      <c r="U20" s="47">
        <f t="shared" si="40"/>
        <v>-1260000</v>
      </c>
      <c r="V20" s="47">
        <f t="shared" si="40"/>
        <v>-1260000</v>
      </c>
      <c r="W20" s="47">
        <f t="shared" si="40"/>
        <v>-1260000</v>
      </c>
      <c r="X20" s="47">
        <f t="shared" si="40"/>
        <v>-1260000</v>
      </c>
      <c r="Y20" s="47">
        <f t="shared" si="40"/>
        <v>-1260000</v>
      </c>
      <c r="Z20" s="47">
        <f t="shared" si="40"/>
        <v>-1260000</v>
      </c>
      <c r="AA20" s="47">
        <f t="shared" si="40"/>
        <v>-1260000</v>
      </c>
      <c r="AB20" s="47">
        <f t="shared" si="40"/>
        <v>-1260000</v>
      </c>
      <c r="AC20" s="47">
        <f t="shared" si="40"/>
        <v>-1260000</v>
      </c>
      <c r="AD20" s="47">
        <f t="shared" si="40"/>
        <v>-1260000</v>
      </c>
      <c r="AE20" s="47">
        <f t="shared" si="40"/>
        <v>-1260000</v>
      </c>
      <c r="AF20" s="47">
        <f t="shared" si="40"/>
        <v>-1260000</v>
      </c>
      <c r="AG20" s="47">
        <f t="shared" si="40"/>
        <v>-1260000</v>
      </c>
    </row>
    <row r="21" spans="2:33" x14ac:dyDescent="0.2">
      <c r="B21" s="26" t="s">
        <v>87</v>
      </c>
      <c r="C21" s="34">
        <f>SUM(D21:AG21)</f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8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</row>
    <row r="22" spans="2:33" x14ac:dyDescent="0.2">
      <c r="B22" s="26" t="s">
        <v>88</v>
      </c>
      <c r="C22" s="34">
        <f>SUM(D22:AG22)</f>
        <v>-16800000</v>
      </c>
      <c r="D22" s="47">
        <f>-Predpoklady!C80</f>
        <v>-560000</v>
      </c>
      <c r="E22" s="47">
        <f>D22</f>
        <v>-560000</v>
      </c>
      <c r="F22" s="47">
        <f t="shared" ref="F22:AG22" si="41">E22</f>
        <v>-560000</v>
      </c>
      <c r="G22" s="47">
        <f t="shared" si="41"/>
        <v>-560000</v>
      </c>
      <c r="H22" s="47">
        <f t="shared" si="41"/>
        <v>-560000</v>
      </c>
      <c r="I22" s="48">
        <f t="shared" si="41"/>
        <v>-560000</v>
      </c>
      <c r="J22" s="47">
        <f t="shared" si="41"/>
        <v>-560000</v>
      </c>
      <c r="K22" s="47">
        <f t="shared" si="41"/>
        <v>-560000</v>
      </c>
      <c r="L22" s="47">
        <f t="shared" si="41"/>
        <v>-560000</v>
      </c>
      <c r="M22" s="47">
        <f t="shared" si="41"/>
        <v>-560000</v>
      </c>
      <c r="N22" s="47">
        <f t="shared" si="41"/>
        <v>-560000</v>
      </c>
      <c r="O22" s="47">
        <f t="shared" si="41"/>
        <v>-560000</v>
      </c>
      <c r="P22" s="47">
        <f t="shared" si="41"/>
        <v>-560000</v>
      </c>
      <c r="Q22" s="47">
        <f t="shared" si="41"/>
        <v>-560000</v>
      </c>
      <c r="R22" s="47">
        <f t="shared" si="41"/>
        <v>-560000</v>
      </c>
      <c r="S22" s="47">
        <f t="shared" si="41"/>
        <v>-560000</v>
      </c>
      <c r="T22" s="47">
        <f t="shared" si="41"/>
        <v>-560000</v>
      </c>
      <c r="U22" s="47">
        <f t="shared" si="41"/>
        <v>-560000</v>
      </c>
      <c r="V22" s="47">
        <f t="shared" si="41"/>
        <v>-560000</v>
      </c>
      <c r="W22" s="47">
        <f t="shared" si="41"/>
        <v>-560000</v>
      </c>
      <c r="X22" s="47">
        <f t="shared" si="41"/>
        <v>-560000</v>
      </c>
      <c r="Y22" s="47">
        <f t="shared" si="41"/>
        <v>-560000</v>
      </c>
      <c r="Z22" s="47">
        <f t="shared" si="41"/>
        <v>-560000</v>
      </c>
      <c r="AA22" s="47">
        <f t="shared" si="41"/>
        <v>-560000</v>
      </c>
      <c r="AB22" s="47">
        <f t="shared" si="41"/>
        <v>-560000</v>
      </c>
      <c r="AC22" s="47">
        <f t="shared" si="41"/>
        <v>-560000</v>
      </c>
      <c r="AD22" s="47">
        <f t="shared" si="41"/>
        <v>-560000</v>
      </c>
      <c r="AE22" s="47">
        <f t="shared" si="41"/>
        <v>-560000</v>
      </c>
      <c r="AF22" s="47">
        <f t="shared" si="41"/>
        <v>-560000</v>
      </c>
      <c r="AG22" s="47">
        <f t="shared" si="41"/>
        <v>-560000</v>
      </c>
    </row>
    <row r="23" spans="2:33" x14ac:dyDescent="0.2">
      <c r="B23" s="26" t="s">
        <v>89</v>
      </c>
      <c r="C23" s="34">
        <f>SUM(D23:AG23)</f>
        <v>-1874250</v>
      </c>
      <c r="D23" s="47">
        <f>-Predpoklady!C79</f>
        <v>-62475</v>
      </c>
      <c r="E23" s="47">
        <f>D23</f>
        <v>-62475</v>
      </c>
      <c r="F23" s="47">
        <f t="shared" ref="F23:AG23" si="42">E23</f>
        <v>-62475</v>
      </c>
      <c r="G23" s="47">
        <f t="shared" si="42"/>
        <v>-62475</v>
      </c>
      <c r="H23" s="47">
        <f t="shared" si="42"/>
        <v>-62475</v>
      </c>
      <c r="I23" s="48">
        <f t="shared" si="42"/>
        <v>-62475</v>
      </c>
      <c r="J23" s="47">
        <f t="shared" si="42"/>
        <v>-62475</v>
      </c>
      <c r="K23" s="47">
        <f t="shared" si="42"/>
        <v>-62475</v>
      </c>
      <c r="L23" s="47">
        <f t="shared" si="42"/>
        <v>-62475</v>
      </c>
      <c r="M23" s="47">
        <f t="shared" si="42"/>
        <v>-62475</v>
      </c>
      <c r="N23" s="47">
        <f t="shared" si="42"/>
        <v>-62475</v>
      </c>
      <c r="O23" s="47">
        <f t="shared" si="42"/>
        <v>-62475</v>
      </c>
      <c r="P23" s="47">
        <f t="shared" si="42"/>
        <v>-62475</v>
      </c>
      <c r="Q23" s="47">
        <f t="shared" si="42"/>
        <v>-62475</v>
      </c>
      <c r="R23" s="47">
        <f t="shared" si="42"/>
        <v>-62475</v>
      </c>
      <c r="S23" s="47">
        <f t="shared" si="42"/>
        <v>-62475</v>
      </c>
      <c r="T23" s="47">
        <f t="shared" si="42"/>
        <v>-62475</v>
      </c>
      <c r="U23" s="47">
        <f t="shared" si="42"/>
        <v>-62475</v>
      </c>
      <c r="V23" s="47">
        <f t="shared" si="42"/>
        <v>-62475</v>
      </c>
      <c r="W23" s="47">
        <f t="shared" si="42"/>
        <v>-62475</v>
      </c>
      <c r="X23" s="47">
        <f t="shared" si="42"/>
        <v>-62475</v>
      </c>
      <c r="Y23" s="47">
        <f t="shared" si="42"/>
        <v>-62475</v>
      </c>
      <c r="Z23" s="47">
        <f t="shared" si="42"/>
        <v>-62475</v>
      </c>
      <c r="AA23" s="47">
        <f t="shared" si="42"/>
        <v>-62475</v>
      </c>
      <c r="AB23" s="47">
        <f t="shared" si="42"/>
        <v>-62475</v>
      </c>
      <c r="AC23" s="47">
        <f t="shared" si="42"/>
        <v>-62475</v>
      </c>
      <c r="AD23" s="47">
        <f t="shared" si="42"/>
        <v>-62475</v>
      </c>
      <c r="AE23" s="47">
        <f t="shared" si="42"/>
        <v>-62475</v>
      </c>
      <c r="AF23" s="47">
        <f t="shared" si="42"/>
        <v>-62475</v>
      </c>
      <c r="AG23" s="47">
        <f t="shared" si="42"/>
        <v>-62475</v>
      </c>
    </row>
    <row r="24" spans="2:33" x14ac:dyDescent="0.2">
      <c r="B24" s="25" t="s">
        <v>90</v>
      </c>
      <c r="C24" s="37">
        <f t="shared" ref="C24" si="43">SUM(D24:AG24)</f>
        <v>-56474250</v>
      </c>
      <c r="D24" s="37">
        <f>SUM(D20:D23)</f>
        <v>-1882475</v>
      </c>
      <c r="E24" s="37">
        <f t="shared" ref="E24:AG24" si="44">SUM(E20:E23)</f>
        <v>-1882475</v>
      </c>
      <c r="F24" s="37">
        <f t="shared" si="44"/>
        <v>-1882475</v>
      </c>
      <c r="G24" s="37">
        <f t="shared" si="44"/>
        <v>-1882475</v>
      </c>
      <c r="H24" s="37">
        <f t="shared" si="44"/>
        <v>-1882475</v>
      </c>
      <c r="I24" s="49">
        <f t="shared" si="44"/>
        <v>-1882475</v>
      </c>
      <c r="J24" s="37">
        <f t="shared" si="44"/>
        <v>-1882475</v>
      </c>
      <c r="K24" s="37">
        <f t="shared" si="44"/>
        <v>-1882475</v>
      </c>
      <c r="L24" s="37">
        <f t="shared" si="44"/>
        <v>-1882475</v>
      </c>
      <c r="M24" s="37">
        <f t="shared" si="44"/>
        <v>-1882475</v>
      </c>
      <c r="N24" s="37">
        <f t="shared" si="44"/>
        <v>-1882475</v>
      </c>
      <c r="O24" s="37">
        <f t="shared" si="44"/>
        <v>-1882475</v>
      </c>
      <c r="P24" s="37">
        <f t="shared" si="44"/>
        <v>-1882475</v>
      </c>
      <c r="Q24" s="37">
        <f t="shared" si="44"/>
        <v>-1882475</v>
      </c>
      <c r="R24" s="37">
        <f t="shared" si="44"/>
        <v>-1882475</v>
      </c>
      <c r="S24" s="37">
        <f t="shared" si="44"/>
        <v>-1882475</v>
      </c>
      <c r="T24" s="37">
        <f t="shared" si="44"/>
        <v>-1882475</v>
      </c>
      <c r="U24" s="37">
        <f t="shared" si="44"/>
        <v>-1882475</v>
      </c>
      <c r="V24" s="37">
        <f t="shared" si="44"/>
        <v>-1882475</v>
      </c>
      <c r="W24" s="37">
        <f t="shared" si="44"/>
        <v>-1882475</v>
      </c>
      <c r="X24" s="37">
        <f t="shared" si="44"/>
        <v>-1882475</v>
      </c>
      <c r="Y24" s="37">
        <f t="shared" si="44"/>
        <v>-1882475</v>
      </c>
      <c r="Z24" s="37">
        <f t="shared" si="44"/>
        <v>-1882475</v>
      </c>
      <c r="AA24" s="37">
        <f t="shared" si="44"/>
        <v>-1882475</v>
      </c>
      <c r="AB24" s="37">
        <f t="shared" si="44"/>
        <v>-1882475</v>
      </c>
      <c r="AC24" s="37">
        <f t="shared" si="44"/>
        <v>-1882475</v>
      </c>
      <c r="AD24" s="37">
        <f t="shared" si="44"/>
        <v>-1882475</v>
      </c>
      <c r="AE24" s="37">
        <f t="shared" si="44"/>
        <v>-1882475</v>
      </c>
      <c r="AF24" s="37">
        <f t="shared" si="44"/>
        <v>-1882475</v>
      </c>
      <c r="AG24" s="37">
        <f t="shared" si="44"/>
        <v>-1882475</v>
      </c>
    </row>
    <row r="28" spans="2:33" x14ac:dyDescent="0.2">
      <c r="I28" s="34"/>
    </row>
  </sheetData>
  <pageMargins left="0.19687499999999999" right="0.26250000000000001" top="0.88958333333333328" bottom="0.7" header="0.5" footer="0.5"/>
  <pageSetup paperSize="9" scale="70" orientation="landscape" r:id="rId1"/>
  <headerFooter alignWithMargins="0">
    <oddHeader>&amp;LPríloha 7: Štandardné tabuľky - Cesty
&amp;"Arial,Tučné"&amp;12 03 Náklady na prevádzku a údržbu</oddHeader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18"/>
  <sheetViews>
    <sheetView showGridLines="0" zoomScaleNormal="100" workbookViewId="0">
      <selection activeCell="I30" sqref="I30"/>
    </sheetView>
  </sheetViews>
  <sheetFormatPr defaultColWidth="9.140625" defaultRowHeight="11.25" x14ac:dyDescent="0.2"/>
  <cols>
    <col min="1" max="1" width="2.7109375" style="52" customWidth="1"/>
    <col min="2" max="2" width="22.7109375" style="52" customWidth="1"/>
    <col min="3" max="3" width="10.7109375" style="52" customWidth="1"/>
    <col min="4" max="33" width="6.7109375" style="52" customWidth="1"/>
    <col min="34" max="16384" width="9.140625" style="52"/>
  </cols>
  <sheetData>
    <row r="1" spans="1:33" ht="12.75" x14ac:dyDescent="0.2">
      <c r="A1" s="26"/>
      <c r="B1" s="26"/>
      <c r="C1" s="26"/>
      <c r="D1" s="26" t="s">
        <v>85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12.75" x14ac:dyDescent="0.2">
      <c r="A2" s="26"/>
      <c r="B2" s="25" t="s">
        <v>79</v>
      </c>
      <c r="C2" s="25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6">
        <v>19</v>
      </c>
      <c r="W2" s="26">
        <v>20</v>
      </c>
      <c r="X2" s="26">
        <v>21</v>
      </c>
      <c r="Y2" s="26">
        <v>22</v>
      </c>
      <c r="Z2" s="26">
        <v>23</v>
      </c>
      <c r="AA2" s="26">
        <v>24</v>
      </c>
      <c r="AB2" s="26">
        <v>25</v>
      </c>
      <c r="AC2" s="26">
        <v>26</v>
      </c>
      <c r="AD2" s="26">
        <v>27</v>
      </c>
      <c r="AE2" s="26">
        <v>28</v>
      </c>
      <c r="AF2" s="26">
        <v>29</v>
      </c>
      <c r="AG2" s="26">
        <v>30</v>
      </c>
    </row>
    <row r="3" spans="1:33" ht="12.75" x14ac:dyDescent="0.2">
      <c r="A3" s="26"/>
      <c r="B3" s="44" t="s">
        <v>86</v>
      </c>
      <c r="C3" s="44" t="s">
        <v>64</v>
      </c>
      <c r="D3" s="45">
        <v>2022</v>
      </c>
      <c r="E3" s="45">
        <f>$D$3+D2</f>
        <v>2023</v>
      </c>
      <c r="F3" s="45">
        <f>$D$3+E2</f>
        <v>2024</v>
      </c>
      <c r="G3" s="45">
        <f>$D$3+F2</f>
        <v>2025</v>
      </c>
      <c r="H3" s="45">
        <f t="shared" ref="H3:W3" si="0">$D$3+G2</f>
        <v>2026</v>
      </c>
      <c r="I3" s="45">
        <f t="shared" si="0"/>
        <v>2027</v>
      </c>
      <c r="J3" s="45">
        <f t="shared" si="0"/>
        <v>2028</v>
      </c>
      <c r="K3" s="45">
        <f t="shared" si="0"/>
        <v>2029</v>
      </c>
      <c r="L3" s="45">
        <f t="shared" si="0"/>
        <v>2030</v>
      </c>
      <c r="M3" s="45">
        <f t="shared" si="0"/>
        <v>2031</v>
      </c>
      <c r="N3" s="45">
        <f t="shared" si="0"/>
        <v>2032</v>
      </c>
      <c r="O3" s="45">
        <f t="shared" si="0"/>
        <v>2033</v>
      </c>
      <c r="P3" s="45">
        <f t="shared" si="0"/>
        <v>2034</v>
      </c>
      <c r="Q3" s="45">
        <f t="shared" si="0"/>
        <v>2035</v>
      </c>
      <c r="R3" s="45">
        <f t="shared" si="0"/>
        <v>2036</v>
      </c>
      <c r="S3" s="45">
        <f t="shared" si="0"/>
        <v>2037</v>
      </c>
      <c r="T3" s="45">
        <f t="shared" si="0"/>
        <v>2038</v>
      </c>
      <c r="U3" s="45">
        <f t="shared" si="0"/>
        <v>2039</v>
      </c>
      <c r="V3" s="45">
        <f t="shared" si="0"/>
        <v>2040</v>
      </c>
      <c r="W3" s="45">
        <f t="shared" si="0"/>
        <v>2041</v>
      </c>
      <c r="X3" s="45">
        <f t="shared" ref="X3:AG3" si="1">$D$3+W2</f>
        <v>2042</v>
      </c>
      <c r="Y3" s="45">
        <f t="shared" si="1"/>
        <v>2043</v>
      </c>
      <c r="Z3" s="45">
        <f t="shared" si="1"/>
        <v>2044</v>
      </c>
      <c r="AA3" s="45">
        <f t="shared" si="1"/>
        <v>2045</v>
      </c>
      <c r="AB3" s="45">
        <f t="shared" si="1"/>
        <v>2046</v>
      </c>
      <c r="AC3" s="45">
        <f t="shared" si="1"/>
        <v>2047</v>
      </c>
      <c r="AD3" s="45">
        <f t="shared" si="1"/>
        <v>2048</v>
      </c>
      <c r="AE3" s="45">
        <f t="shared" si="1"/>
        <v>2049</v>
      </c>
      <c r="AF3" s="45">
        <f t="shared" si="1"/>
        <v>2050</v>
      </c>
      <c r="AG3" s="45">
        <f t="shared" si="1"/>
        <v>2051</v>
      </c>
    </row>
    <row r="4" spans="1:33" ht="12.75" x14ac:dyDescent="0.2">
      <c r="A4" s="26"/>
      <c r="B4" s="26" t="s">
        <v>93</v>
      </c>
      <c r="C4" s="34">
        <f>SUM(D4:AG4)</f>
        <v>0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0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0</v>
      </c>
      <c r="U4" s="47">
        <v>0</v>
      </c>
      <c r="V4" s="47">
        <v>0</v>
      </c>
      <c r="W4" s="47">
        <v>0</v>
      </c>
      <c r="X4" s="47">
        <v>0</v>
      </c>
      <c r="Y4" s="47">
        <v>0</v>
      </c>
      <c r="Z4" s="47">
        <v>0</v>
      </c>
      <c r="AA4" s="47">
        <v>0</v>
      </c>
      <c r="AB4" s="47">
        <v>0</v>
      </c>
      <c r="AC4" s="47">
        <v>0</v>
      </c>
      <c r="AD4" s="47">
        <v>0</v>
      </c>
      <c r="AE4" s="47">
        <v>0</v>
      </c>
      <c r="AF4" s="47">
        <v>0</v>
      </c>
      <c r="AG4" s="47">
        <v>0</v>
      </c>
    </row>
    <row r="5" spans="1:33" ht="12.75" x14ac:dyDescent="0.2">
      <c r="A5" s="26"/>
      <c r="B5" s="26" t="s">
        <v>94</v>
      </c>
      <c r="C5" s="34">
        <f>SUM(D5:AG5)</f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>
        <v>0</v>
      </c>
      <c r="AE5" s="47">
        <v>0</v>
      </c>
      <c r="AF5" s="47">
        <v>0</v>
      </c>
      <c r="AG5" s="47">
        <v>0</v>
      </c>
    </row>
    <row r="6" spans="1:33" ht="12.75" x14ac:dyDescent="0.2">
      <c r="A6" s="26"/>
      <c r="B6" s="25" t="s">
        <v>95</v>
      </c>
      <c r="C6" s="37">
        <f t="shared" ref="C6" si="2">SUM(D6:AG6)</f>
        <v>0</v>
      </c>
      <c r="D6" s="37">
        <f t="shared" ref="D6:AG6" si="3">SUM(D4:D5)</f>
        <v>0</v>
      </c>
      <c r="E6" s="37">
        <f t="shared" si="3"/>
        <v>0</v>
      </c>
      <c r="F6" s="37">
        <f t="shared" si="3"/>
        <v>0</v>
      </c>
      <c r="G6" s="37">
        <f t="shared" si="3"/>
        <v>0</v>
      </c>
      <c r="H6" s="37">
        <f t="shared" si="3"/>
        <v>0</v>
      </c>
      <c r="I6" s="37">
        <f t="shared" si="3"/>
        <v>0</v>
      </c>
      <c r="J6" s="37">
        <f t="shared" si="3"/>
        <v>0</v>
      </c>
      <c r="K6" s="37">
        <f t="shared" si="3"/>
        <v>0</v>
      </c>
      <c r="L6" s="37">
        <f t="shared" si="3"/>
        <v>0</v>
      </c>
      <c r="M6" s="37">
        <f t="shared" si="3"/>
        <v>0</v>
      </c>
      <c r="N6" s="37">
        <f t="shared" si="3"/>
        <v>0</v>
      </c>
      <c r="O6" s="37">
        <f t="shared" si="3"/>
        <v>0</v>
      </c>
      <c r="P6" s="37">
        <f t="shared" si="3"/>
        <v>0</v>
      </c>
      <c r="Q6" s="37">
        <f t="shared" si="3"/>
        <v>0</v>
      </c>
      <c r="R6" s="37">
        <f t="shared" si="3"/>
        <v>0</v>
      </c>
      <c r="S6" s="37">
        <f t="shared" si="3"/>
        <v>0</v>
      </c>
      <c r="T6" s="37">
        <f t="shared" si="3"/>
        <v>0</v>
      </c>
      <c r="U6" s="37">
        <f t="shared" si="3"/>
        <v>0</v>
      </c>
      <c r="V6" s="37">
        <f t="shared" si="3"/>
        <v>0</v>
      </c>
      <c r="W6" s="37">
        <f t="shared" si="3"/>
        <v>0</v>
      </c>
      <c r="X6" s="37">
        <f t="shared" si="3"/>
        <v>0</v>
      </c>
      <c r="Y6" s="37">
        <f t="shared" si="3"/>
        <v>0</v>
      </c>
      <c r="Z6" s="37">
        <f t="shared" si="3"/>
        <v>0</v>
      </c>
      <c r="AA6" s="37">
        <f t="shared" si="3"/>
        <v>0</v>
      </c>
      <c r="AB6" s="37">
        <f t="shared" si="3"/>
        <v>0</v>
      </c>
      <c r="AC6" s="37">
        <f t="shared" si="3"/>
        <v>0</v>
      </c>
      <c r="AD6" s="37">
        <f t="shared" si="3"/>
        <v>0</v>
      </c>
      <c r="AE6" s="37">
        <f t="shared" si="3"/>
        <v>0</v>
      </c>
      <c r="AF6" s="37">
        <f t="shared" si="3"/>
        <v>0</v>
      </c>
      <c r="AG6" s="37">
        <f t="shared" si="3"/>
        <v>0</v>
      </c>
    </row>
    <row r="7" spans="1:33" ht="12.75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ht="12.75" x14ac:dyDescent="0.2">
      <c r="A8" s="26"/>
      <c r="B8" s="25" t="s">
        <v>83</v>
      </c>
      <c r="C8" s="25"/>
      <c r="D8" s="50">
        <v>1</v>
      </c>
      <c r="E8" s="50">
        <v>2</v>
      </c>
      <c r="F8" s="50">
        <v>3</v>
      </c>
      <c r="G8" s="50">
        <v>4</v>
      </c>
      <c r="H8" s="50">
        <v>5</v>
      </c>
      <c r="I8" s="50">
        <v>6</v>
      </c>
      <c r="J8" s="50">
        <v>7</v>
      </c>
      <c r="K8" s="50">
        <v>8</v>
      </c>
      <c r="L8" s="50">
        <v>9</v>
      </c>
      <c r="M8" s="50">
        <v>10</v>
      </c>
      <c r="N8" s="50">
        <v>11</v>
      </c>
      <c r="O8" s="50">
        <v>12</v>
      </c>
      <c r="P8" s="50">
        <v>13</v>
      </c>
      <c r="Q8" s="50">
        <v>14</v>
      </c>
      <c r="R8" s="50">
        <v>15</v>
      </c>
      <c r="S8" s="50">
        <v>16</v>
      </c>
      <c r="T8" s="50">
        <v>17</v>
      </c>
      <c r="U8" s="50">
        <v>18</v>
      </c>
      <c r="V8" s="50">
        <v>19</v>
      </c>
      <c r="W8" s="50">
        <v>20</v>
      </c>
      <c r="X8" s="50">
        <v>21</v>
      </c>
      <c r="Y8" s="50">
        <v>22</v>
      </c>
      <c r="Z8" s="50">
        <v>23</v>
      </c>
      <c r="AA8" s="50">
        <v>24</v>
      </c>
      <c r="AB8" s="50">
        <v>25</v>
      </c>
      <c r="AC8" s="50">
        <v>26</v>
      </c>
      <c r="AD8" s="50">
        <v>27</v>
      </c>
      <c r="AE8" s="50">
        <v>28</v>
      </c>
      <c r="AF8" s="50">
        <v>29</v>
      </c>
      <c r="AG8" s="50">
        <v>30</v>
      </c>
    </row>
    <row r="9" spans="1:33" ht="12.75" x14ac:dyDescent="0.2">
      <c r="A9" s="26"/>
      <c r="B9" s="44" t="s">
        <v>91</v>
      </c>
      <c r="C9" s="44" t="s">
        <v>64</v>
      </c>
      <c r="D9" s="45">
        <f>D3</f>
        <v>2022</v>
      </c>
      <c r="E9" s="45">
        <f>$D$3+D8</f>
        <v>2023</v>
      </c>
      <c r="F9" s="45">
        <f>$D$3+E8</f>
        <v>2024</v>
      </c>
      <c r="G9" s="45">
        <f>$D$3+F8</f>
        <v>2025</v>
      </c>
      <c r="H9" s="45">
        <f t="shared" ref="H9:W9" si="4">$D$3+G8</f>
        <v>2026</v>
      </c>
      <c r="I9" s="45">
        <f t="shared" si="4"/>
        <v>2027</v>
      </c>
      <c r="J9" s="45">
        <f t="shared" si="4"/>
        <v>2028</v>
      </c>
      <c r="K9" s="45">
        <f t="shared" si="4"/>
        <v>2029</v>
      </c>
      <c r="L9" s="45">
        <f t="shared" si="4"/>
        <v>2030</v>
      </c>
      <c r="M9" s="45">
        <f t="shared" si="4"/>
        <v>2031</v>
      </c>
      <c r="N9" s="45">
        <f t="shared" si="4"/>
        <v>2032</v>
      </c>
      <c r="O9" s="45">
        <f t="shared" si="4"/>
        <v>2033</v>
      </c>
      <c r="P9" s="45">
        <f t="shared" si="4"/>
        <v>2034</v>
      </c>
      <c r="Q9" s="45">
        <f t="shared" si="4"/>
        <v>2035</v>
      </c>
      <c r="R9" s="45">
        <f t="shared" si="4"/>
        <v>2036</v>
      </c>
      <c r="S9" s="45">
        <f t="shared" si="4"/>
        <v>2037</v>
      </c>
      <c r="T9" s="45">
        <f t="shared" si="4"/>
        <v>2038</v>
      </c>
      <c r="U9" s="45">
        <f t="shared" si="4"/>
        <v>2039</v>
      </c>
      <c r="V9" s="45">
        <f t="shared" si="4"/>
        <v>2040</v>
      </c>
      <c r="W9" s="45">
        <f t="shared" si="4"/>
        <v>2041</v>
      </c>
      <c r="X9" s="45">
        <f t="shared" ref="X9:AG9" si="5">$D$3+W8</f>
        <v>2042</v>
      </c>
      <c r="Y9" s="45">
        <f t="shared" si="5"/>
        <v>2043</v>
      </c>
      <c r="Z9" s="45">
        <f t="shared" si="5"/>
        <v>2044</v>
      </c>
      <c r="AA9" s="45">
        <f t="shared" si="5"/>
        <v>2045</v>
      </c>
      <c r="AB9" s="45">
        <f t="shared" si="5"/>
        <v>2046</v>
      </c>
      <c r="AC9" s="45">
        <f t="shared" si="5"/>
        <v>2047</v>
      </c>
      <c r="AD9" s="45">
        <f t="shared" si="5"/>
        <v>2048</v>
      </c>
      <c r="AE9" s="45">
        <f t="shared" si="5"/>
        <v>2049</v>
      </c>
      <c r="AF9" s="45">
        <f t="shared" si="5"/>
        <v>2050</v>
      </c>
      <c r="AG9" s="45">
        <f t="shared" si="5"/>
        <v>2051</v>
      </c>
    </row>
    <row r="10" spans="1:33" ht="12.75" x14ac:dyDescent="0.2">
      <c r="A10" s="26"/>
      <c r="B10" s="26" t="s">
        <v>93</v>
      </c>
      <c r="C10" s="34">
        <f>SUM(D10:AG10)</f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0</v>
      </c>
      <c r="AG10" s="47">
        <v>0</v>
      </c>
    </row>
    <row r="11" spans="1:33" ht="12.75" x14ac:dyDescent="0.2">
      <c r="A11" s="26"/>
      <c r="B11" s="26" t="s">
        <v>94</v>
      </c>
      <c r="C11" s="34">
        <f>SUM(D11:AG11)</f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</row>
    <row r="12" spans="1:33" ht="12.75" x14ac:dyDescent="0.2">
      <c r="A12" s="26"/>
      <c r="B12" s="25" t="s">
        <v>95</v>
      </c>
      <c r="C12" s="37">
        <f t="shared" ref="C12" si="6">SUM(D12:AG12)</f>
        <v>0</v>
      </c>
      <c r="D12" s="37">
        <f t="shared" ref="D12:AG12" si="7">SUM(D10:D11)</f>
        <v>0</v>
      </c>
      <c r="E12" s="37">
        <f t="shared" si="7"/>
        <v>0</v>
      </c>
      <c r="F12" s="37">
        <f t="shared" si="7"/>
        <v>0</v>
      </c>
      <c r="G12" s="37">
        <f t="shared" si="7"/>
        <v>0</v>
      </c>
      <c r="H12" s="37">
        <f t="shared" si="7"/>
        <v>0</v>
      </c>
      <c r="I12" s="37">
        <f t="shared" si="7"/>
        <v>0</v>
      </c>
      <c r="J12" s="37">
        <f t="shared" si="7"/>
        <v>0</v>
      </c>
      <c r="K12" s="37">
        <f t="shared" si="7"/>
        <v>0</v>
      </c>
      <c r="L12" s="37">
        <f t="shared" si="7"/>
        <v>0</v>
      </c>
      <c r="M12" s="37">
        <f t="shared" si="7"/>
        <v>0</v>
      </c>
      <c r="N12" s="37">
        <f t="shared" si="7"/>
        <v>0</v>
      </c>
      <c r="O12" s="37">
        <f t="shared" si="7"/>
        <v>0</v>
      </c>
      <c r="P12" s="37">
        <f t="shared" si="7"/>
        <v>0</v>
      </c>
      <c r="Q12" s="37">
        <f t="shared" si="7"/>
        <v>0</v>
      </c>
      <c r="R12" s="37">
        <f t="shared" si="7"/>
        <v>0</v>
      </c>
      <c r="S12" s="37">
        <f t="shared" si="7"/>
        <v>0</v>
      </c>
      <c r="T12" s="37">
        <f t="shared" si="7"/>
        <v>0</v>
      </c>
      <c r="U12" s="37">
        <f t="shared" si="7"/>
        <v>0</v>
      </c>
      <c r="V12" s="37">
        <f t="shared" si="7"/>
        <v>0</v>
      </c>
      <c r="W12" s="37">
        <f t="shared" si="7"/>
        <v>0</v>
      </c>
      <c r="X12" s="37">
        <f t="shared" si="7"/>
        <v>0</v>
      </c>
      <c r="Y12" s="37">
        <f t="shared" si="7"/>
        <v>0</v>
      </c>
      <c r="Z12" s="37">
        <f t="shared" si="7"/>
        <v>0</v>
      </c>
      <c r="AA12" s="37">
        <f t="shared" si="7"/>
        <v>0</v>
      </c>
      <c r="AB12" s="37">
        <f t="shared" si="7"/>
        <v>0</v>
      </c>
      <c r="AC12" s="37">
        <f t="shared" si="7"/>
        <v>0</v>
      </c>
      <c r="AD12" s="37">
        <f t="shared" si="7"/>
        <v>0</v>
      </c>
      <c r="AE12" s="37">
        <f t="shared" si="7"/>
        <v>0</v>
      </c>
      <c r="AF12" s="37">
        <f t="shared" si="7"/>
        <v>0</v>
      </c>
      <c r="AG12" s="37">
        <f t="shared" si="7"/>
        <v>0</v>
      </c>
    </row>
    <row r="14" spans="1:33" ht="12.75" x14ac:dyDescent="0.2">
      <c r="B14" s="25" t="s">
        <v>84</v>
      </c>
      <c r="C14" s="25"/>
      <c r="D14" s="50">
        <v>1</v>
      </c>
      <c r="E14" s="50">
        <v>2</v>
      </c>
      <c r="F14" s="50">
        <v>3</v>
      </c>
      <c r="G14" s="50">
        <v>4</v>
      </c>
      <c r="H14" s="50">
        <v>5</v>
      </c>
      <c r="I14" s="50">
        <v>6</v>
      </c>
      <c r="J14" s="50">
        <v>7</v>
      </c>
      <c r="K14" s="50">
        <v>8</v>
      </c>
      <c r="L14" s="50">
        <v>9</v>
      </c>
      <c r="M14" s="50">
        <v>10</v>
      </c>
      <c r="N14" s="50">
        <v>11</v>
      </c>
      <c r="O14" s="50">
        <v>12</v>
      </c>
      <c r="P14" s="50">
        <v>13</v>
      </c>
      <c r="Q14" s="50">
        <v>14</v>
      </c>
      <c r="R14" s="50">
        <v>15</v>
      </c>
      <c r="S14" s="50">
        <v>16</v>
      </c>
      <c r="T14" s="50">
        <v>17</v>
      </c>
      <c r="U14" s="50">
        <v>18</v>
      </c>
      <c r="V14" s="50">
        <v>19</v>
      </c>
      <c r="W14" s="50">
        <v>20</v>
      </c>
      <c r="X14" s="50">
        <v>21</v>
      </c>
      <c r="Y14" s="50">
        <v>22</v>
      </c>
      <c r="Z14" s="50">
        <v>23</v>
      </c>
      <c r="AA14" s="50">
        <v>24</v>
      </c>
      <c r="AB14" s="50">
        <v>25</v>
      </c>
      <c r="AC14" s="50">
        <v>26</v>
      </c>
      <c r="AD14" s="50">
        <v>27</v>
      </c>
      <c r="AE14" s="50">
        <v>28</v>
      </c>
      <c r="AF14" s="50">
        <v>29</v>
      </c>
      <c r="AG14" s="50">
        <v>30</v>
      </c>
    </row>
    <row r="15" spans="1:33" ht="12.75" x14ac:dyDescent="0.2">
      <c r="B15" s="44" t="s">
        <v>91</v>
      </c>
      <c r="C15" s="44" t="s">
        <v>64</v>
      </c>
      <c r="D15" s="45">
        <f>D9</f>
        <v>2022</v>
      </c>
      <c r="E15" s="45">
        <f>$D$3+D14</f>
        <v>2023</v>
      </c>
      <c r="F15" s="45">
        <f>$D$3+E14</f>
        <v>2024</v>
      </c>
      <c r="G15" s="45">
        <f>$D$3+F14</f>
        <v>2025</v>
      </c>
      <c r="H15" s="45">
        <f t="shared" ref="H15" si="8">$D$3+G14</f>
        <v>2026</v>
      </c>
      <c r="I15" s="45">
        <f t="shared" ref="I15" si="9">$D$3+H14</f>
        <v>2027</v>
      </c>
      <c r="J15" s="45">
        <f t="shared" ref="J15" si="10">$D$3+I14</f>
        <v>2028</v>
      </c>
      <c r="K15" s="45">
        <f t="shared" ref="K15" si="11">$D$3+J14</f>
        <v>2029</v>
      </c>
      <c r="L15" s="45">
        <f t="shared" ref="L15" si="12">$D$3+K14</f>
        <v>2030</v>
      </c>
      <c r="M15" s="45">
        <f t="shared" ref="M15" si="13">$D$3+L14</f>
        <v>2031</v>
      </c>
      <c r="N15" s="45">
        <f t="shared" ref="N15" si="14">$D$3+M14</f>
        <v>2032</v>
      </c>
      <c r="O15" s="45">
        <f t="shared" ref="O15" si="15">$D$3+N14</f>
        <v>2033</v>
      </c>
      <c r="P15" s="45">
        <f t="shared" ref="P15" si="16">$D$3+O14</f>
        <v>2034</v>
      </c>
      <c r="Q15" s="45">
        <f t="shared" ref="Q15" si="17">$D$3+P14</f>
        <v>2035</v>
      </c>
      <c r="R15" s="45">
        <f t="shared" ref="R15" si="18">$D$3+Q14</f>
        <v>2036</v>
      </c>
      <c r="S15" s="45">
        <f t="shared" ref="S15" si="19">$D$3+R14</f>
        <v>2037</v>
      </c>
      <c r="T15" s="45">
        <f t="shared" ref="T15" si="20">$D$3+S14</f>
        <v>2038</v>
      </c>
      <c r="U15" s="45">
        <f t="shared" ref="U15" si="21">$D$3+T14</f>
        <v>2039</v>
      </c>
      <c r="V15" s="45">
        <f t="shared" ref="V15" si="22">$D$3+U14</f>
        <v>2040</v>
      </c>
      <c r="W15" s="45">
        <f t="shared" ref="W15" si="23">$D$3+V14</f>
        <v>2041</v>
      </c>
      <c r="X15" s="45">
        <f t="shared" ref="X15" si="24">$D$3+W14</f>
        <v>2042</v>
      </c>
      <c r="Y15" s="45">
        <f t="shared" ref="Y15" si="25">$D$3+X14</f>
        <v>2043</v>
      </c>
      <c r="Z15" s="45">
        <f t="shared" ref="Z15" si="26">$D$3+Y14</f>
        <v>2044</v>
      </c>
      <c r="AA15" s="45">
        <f t="shared" ref="AA15" si="27">$D$3+Z14</f>
        <v>2045</v>
      </c>
      <c r="AB15" s="45">
        <f t="shared" ref="AB15" si="28">$D$3+AA14</f>
        <v>2046</v>
      </c>
      <c r="AC15" s="45">
        <f t="shared" ref="AC15" si="29">$D$3+AB14</f>
        <v>2047</v>
      </c>
      <c r="AD15" s="45">
        <f t="shared" ref="AD15" si="30">$D$3+AC14</f>
        <v>2048</v>
      </c>
      <c r="AE15" s="45">
        <f t="shared" ref="AE15" si="31">$D$3+AD14</f>
        <v>2049</v>
      </c>
      <c r="AF15" s="45">
        <f t="shared" ref="AF15" si="32">$D$3+AE14</f>
        <v>2050</v>
      </c>
      <c r="AG15" s="45">
        <f t="shared" ref="AG15" si="33">$D$3+AF14</f>
        <v>2051</v>
      </c>
    </row>
    <row r="16" spans="1:33" ht="12.75" x14ac:dyDescent="0.2">
      <c r="B16" s="26" t="s">
        <v>93</v>
      </c>
      <c r="C16" s="34">
        <f>SUM(D16:AG16)</f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</row>
    <row r="17" spans="2:33" ht="12.75" x14ac:dyDescent="0.2">
      <c r="B17" s="26" t="s">
        <v>94</v>
      </c>
      <c r="C17" s="34">
        <f>SUM(D17:AG17)</f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</v>
      </c>
      <c r="AF17" s="47">
        <v>0</v>
      </c>
      <c r="AG17" s="47">
        <v>0</v>
      </c>
    </row>
    <row r="18" spans="2:33" ht="12.75" x14ac:dyDescent="0.2">
      <c r="B18" s="25" t="s">
        <v>95</v>
      </c>
      <c r="C18" s="37">
        <f t="shared" ref="C18" si="34">SUM(D18:AG18)</f>
        <v>0</v>
      </c>
      <c r="D18" s="37">
        <f t="shared" ref="D18" si="35">SUM(D16:D17)</f>
        <v>0</v>
      </c>
      <c r="E18" s="37">
        <f t="shared" ref="E18" si="36">SUM(E16:E17)</f>
        <v>0</v>
      </c>
      <c r="F18" s="37">
        <f t="shared" ref="F18" si="37">SUM(F16:F17)</f>
        <v>0</v>
      </c>
      <c r="G18" s="37">
        <f t="shared" ref="G18" si="38">SUM(G16:G17)</f>
        <v>0</v>
      </c>
      <c r="H18" s="37">
        <f t="shared" ref="H18" si="39">SUM(H16:H17)</f>
        <v>0</v>
      </c>
      <c r="I18" s="37">
        <f t="shared" ref="I18" si="40">SUM(I16:I17)</f>
        <v>0</v>
      </c>
      <c r="J18" s="37">
        <f t="shared" ref="J18" si="41">SUM(J16:J17)</f>
        <v>0</v>
      </c>
      <c r="K18" s="37">
        <f t="shared" ref="K18" si="42">SUM(K16:K17)</f>
        <v>0</v>
      </c>
      <c r="L18" s="37">
        <f t="shared" ref="L18" si="43">SUM(L16:L17)</f>
        <v>0</v>
      </c>
      <c r="M18" s="37">
        <f t="shared" ref="M18" si="44">SUM(M16:M17)</f>
        <v>0</v>
      </c>
      <c r="N18" s="37">
        <f t="shared" ref="N18" si="45">SUM(N16:N17)</f>
        <v>0</v>
      </c>
      <c r="O18" s="37">
        <f t="shared" ref="O18" si="46">SUM(O16:O17)</f>
        <v>0</v>
      </c>
      <c r="P18" s="37">
        <f t="shared" ref="P18" si="47">SUM(P16:P17)</f>
        <v>0</v>
      </c>
      <c r="Q18" s="37">
        <f t="shared" ref="Q18" si="48">SUM(Q16:Q17)</f>
        <v>0</v>
      </c>
      <c r="R18" s="37">
        <f t="shared" ref="R18" si="49">SUM(R16:R17)</f>
        <v>0</v>
      </c>
      <c r="S18" s="37">
        <f t="shared" ref="S18" si="50">SUM(S16:S17)</f>
        <v>0</v>
      </c>
      <c r="T18" s="37">
        <f t="shared" ref="T18" si="51">SUM(T16:T17)</f>
        <v>0</v>
      </c>
      <c r="U18" s="37">
        <f t="shared" ref="U18" si="52">SUM(U16:U17)</f>
        <v>0</v>
      </c>
      <c r="V18" s="37">
        <f t="shared" ref="V18" si="53">SUM(V16:V17)</f>
        <v>0</v>
      </c>
      <c r="W18" s="37">
        <f t="shared" ref="W18" si="54">SUM(W16:W17)</f>
        <v>0</v>
      </c>
      <c r="X18" s="37">
        <f t="shared" ref="X18" si="55">SUM(X16:X17)</f>
        <v>0</v>
      </c>
      <c r="Y18" s="37">
        <f t="shared" ref="Y18" si="56">SUM(Y16:Y17)</f>
        <v>0</v>
      </c>
      <c r="Z18" s="37">
        <f t="shared" ref="Z18" si="57">SUM(Z16:Z17)</f>
        <v>0</v>
      </c>
      <c r="AA18" s="37">
        <f t="shared" ref="AA18" si="58">SUM(AA16:AA17)</f>
        <v>0</v>
      </c>
      <c r="AB18" s="37">
        <f t="shared" ref="AB18" si="59">SUM(AB16:AB17)</f>
        <v>0</v>
      </c>
      <c r="AC18" s="37">
        <f t="shared" ref="AC18" si="60">SUM(AC16:AC17)</f>
        <v>0</v>
      </c>
      <c r="AD18" s="37">
        <f t="shared" ref="AD18" si="61">SUM(AD16:AD17)</f>
        <v>0</v>
      </c>
      <c r="AE18" s="37">
        <f t="shared" ref="AE18" si="62">SUM(AE16:AE17)</f>
        <v>0</v>
      </c>
      <c r="AF18" s="37">
        <f t="shared" ref="AF18" si="63">SUM(AF16:AF17)</f>
        <v>0</v>
      </c>
      <c r="AG18" s="37">
        <f t="shared" ref="AG18" si="64">SUM(AG16:AG17)</f>
        <v>0</v>
      </c>
    </row>
  </sheetData>
  <pageMargins left="0.22604166666666667" right="0.24062500000000001" top="1" bottom="1" header="0.5" footer="0.5"/>
  <pageSetup paperSize="9" scale="75" orientation="landscape" r:id="rId1"/>
  <headerFooter alignWithMargins="0">
    <oddHeader>&amp;LPríloha 7: Štandardné tabuľky - Cesty
&amp;"Arial,Tučné"&amp;12 04 Príjmy</oddHeader>
    <oddFooter>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44"/>
  <sheetViews>
    <sheetView showGridLines="0" zoomScaleNormal="100" workbookViewId="0">
      <selection activeCell="I13" sqref="I13"/>
    </sheetView>
  </sheetViews>
  <sheetFormatPr defaultColWidth="9.140625" defaultRowHeight="12.75" x14ac:dyDescent="0.2"/>
  <cols>
    <col min="1" max="1" width="2.7109375" style="26" customWidth="1"/>
    <col min="2" max="2" width="33.7109375" style="26" customWidth="1"/>
    <col min="3" max="3" width="11.7109375" style="26" bestFit="1" customWidth="1"/>
    <col min="4" max="32" width="9.7109375" style="26" bestFit="1" customWidth="1"/>
    <col min="33" max="33" width="10.140625" style="26" bestFit="1" customWidth="1"/>
    <col min="34" max="34" width="5" style="26" bestFit="1" customWidth="1"/>
    <col min="35" max="16384" width="9.140625" style="26"/>
  </cols>
  <sheetData>
    <row r="1" spans="1:33" x14ac:dyDescent="0.2">
      <c r="C1" s="25" t="s">
        <v>96</v>
      </c>
    </row>
    <row r="2" spans="1:33" x14ac:dyDescent="0.2">
      <c r="B2" s="26" t="s">
        <v>79</v>
      </c>
      <c r="C2" s="56">
        <f>C15</f>
        <v>-39211691.385119565</v>
      </c>
    </row>
    <row r="3" spans="1:33" x14ac:dyDescent="0.2">
      <c r="B3" s="26" t="s">
        <v>83</v>
      </c>
      <c r="C3" s="56">
        <f>C26</f>
        <v>-31636226.412573308</v>
      </c>
    </row>
    <row r="4" spans="1:33" x14ac:dyDescent="0.2">
      <c r="B4" s="26" t="s">
        <v>84</v>
      </c>
      <c r="C4" s="56">
        <f>C37</f>
        <v>-36853893.203175083</v>
      </c>
    </row>
    <row r="6" spans="1:33" x14ac:dyDescent="0.2">
      <c r="B6" s="25" t="s">
        <v>79</v>
      </c>
      <c r="C6" s="25"/>
      <c r="D6" s="26" t="s">
        <v>85</v>
      </c>
    </row>
    <row r="7" spans="1:33" x14ac:dyDescent="0.2">
      <c r="A7" s="55"/>
      <c r="B7" s="25"/>
      <c r="C7" s="35" t="s">
        <v>64</v>
      </c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</row>
    <row r="8" spans="1:33" x14ac:dyDescent="0.2">
      <c r="A8" s="55"/>
      <c r="B8" s="44" t="s">
        <v>97</v>
      </c>
      <c r="C8" s="57" t="s">
        <v>98</v>
      </c>
      <c r="D8" s="45">
        <v>2022</v>
      </c>
      <c r="E8" s="45">
        <f>$D$19+D7</f>
        <v>2023</v>
      </c>
      <c r="F8" s="45">
        <f>$D$19+E7</f>
        <v>2024</v>
      </c>
      <c r="G8" s="45">
        <f t="shared" ref="G8" si="0">$D$19+F7</f>
        <v>2025</v>
      </c>
      <c r="H8" s="45">
        <f t="shared" ref="H8" si="1">$D$19+G7</f>
        <v>2026</v>
      </c>
      <c r="I8" s="45">
        <f t="shared" ref="I8" si="2">$D$19+H7</f>
        <v>2027</v>
      </c>
      <c r="J8" s="45">
        <f t="shared" ref="J8" si="3">$D$19+I7</f>
        <v>2028</v>
      </c>
      <c r="K8" s="45">
        <f t="shared" ref="K8" si="4">$D$19+J7</f>
        <v>2029</v>
      </c>
      <c r="L8" s="45">
        <f t="shared" ref="L8" si="5">$D$19+K7</f>
        <v>2030</v>
      </c>
      <c r="M8" s="45">
        <f t="shared" ref="M8" si="6">$D$19+L7</f>
        <v>2031</v>
      </c>
      <c r="N8" s="45">
        <f t="shared" ref="N8" si="7">$D$19+M7</f>
        <v>2032</v>
      </c>
      <c r="O8" s="45">
        <f t="shared" ref="O8" si="8">$D$19+N7</f>
        <v>2033</v>
      </c>
      <c r="P8" s="45">
        <f t="shared" ref="P8" si="9">$D$19+O7</f>
        <v>2034</v>
      </c>
      <c r="Q8" s="45">
        <f t="shared" ref="Q8" si="10">$D$19+P7</f>
        <v>2035</v>
      </c>
      <c r="R8" s="45">
        <f t="shared" ref="R8" si="11">$D$19+Q7</f>
        <v>2036</v>
      </c>
      <c r="S8" s="45">
        <f t="shared" ref="S8" si="12">$D$19+R7</f>
        <v>2037</v>
      </c>
      <c r="T8" s="45">
        <f t="shared" ref="T8" si="13">$D$19+S7</f>
        <v>2038</v>
      </c>
      <c r="U8" s="45">
        <f t="shared" ref="U8" si="14">$D$19+T7</f>
        <v>2039</v>
      </c>
      <c r="V8" s="45">
        <f t="shared" ref="V8" si="15">$D$19+U7</f>
        <v>2040</v>
      </c>
      <c r="W8" s="45">
        <f t="shared" ref="W8" si="16">$D$19+V7</f>
        <v>2041</v>
      </c>
      <c r="X8" s="45">
        <f t="shared" ref="X8" si="17">$D$19+W7</f>
        <v>2042</v>
      </c>
      <c r="Y8" s="45">
        <f t="shared" ref="Y8" si="18">$D$19+X7</f>
        <v>2043</v>
      </c>
      <c r="Z8" s="45">
        <f t="shared" ref="Z8" si="19">$D$19+Y7</f>
        <v>2044</v>
      </c>
      <c r="AA8" s="45">
        <f t="shared" ref="AA8" si="20">$D$19+Z7</f>
        <v>2045</v>
      </c>
      <c r="AB8" s="45">
        <f t="shared" ref="AB8" si="21">$D$19+AA7</f>
        <v>2046</v>
      </c>
      <c r="AC8" s="45">
        <f t="shared" ref="AC8" si="22">$D$19+AB7</f>
        <v>2047</v>
      </c>
      <c r="AD8" s="45">
        <f t="shared" ref="AD8" si="23">$D$19+AC7</f>
        <v>2048</v>
      </c>
      <c r="AE8" s="45">
        <f t="shared" ref="AE8" si="24">$D$19+AD7</f>
        <v>2049</v>
      </c>
      <c r="AF8" s="45">
        <f t="shared" ref="AF8" si="25">$D$19+AE7</f>
        <v>2050</v>
      </c>
      <c r="AG8" s="45">
        <f t="shared" ref="AG8" si="26">$D$19+AF7</f>
        <v>2051</v>
      </c>
    </row>
    <row r="9" spans="1:33" x14ac:dyDescent="0.2">
      <c r="A9" s="55"/>
      <c r="B9" s="26" t="s">
        <v>99</v>
      </c>
      <c r="C9" s="58">
        <f>D9+NPV(Predpoklady!$C$5,'05 Finančná analýza'!E9:AG9)</f>
        <v>0</v>
      </c>
      <c r="D9" s="34">
        <f>-'01 Investičné výdavky'!E7</f>
        <v>0</v>
      </c>
      <c r="E9" s="34">
        <f>-'01 Investičné výdavky'!F7</f>
        <v>0</v>
      </c>
      <c r="F9" s="34">
        <f>-'01 Investičné výdavky'!G7</f>
        <v>0</v>
      </c>
      <c r="G9" s="34">
        <f>-'01 Investičné výdavky'!H7</f>
        <v>0</v>
      </c>
      <c r="H9" s="34">
        <f>-'01 Investičné výdavky'!I7</f>
        <v>0</v>
      </c>
      <c r="I9" s="34">
        <f>-'01 Investičné výdavky'!J7</f>
        <v>0</v>
      </c>
      <c r="J9" s="34">
        <f>-'01 Investičné výdavky'!K7</f>
        <v>0</v>
      </c>
      <c r="K9" s="34">
        <f>-'01 Investičné výdavky'!L7</f>
        <v>0</v>
      </c>
      <c r="L9" s="34">
        <f>-'01 Investičné výdavky'!M7</f>
        <v>0</v>
      </c>
      <c r="M9" s="34">
        <f>-'01 Investičné výdavky'!N7</f>
        <v>0</v>
      </c>
      <c r="N9" s="34">
        <f>-'01 Investičné výdavky'!O7</f>
        <v>0</v>
      </c>
      <c r="O9" s="34">
        <f>-'01 Investičné výdavky'!P7</f>
        <v>0</v>
      </c>
      <c r="P9" s="34">
        <f>-'01 Investičné výdavky'!Q7</f>
        <v>0</v>
      </c>
      <c r="Q9" s="34">
        <f>-'01 Investičné výdavky'!R7</f>
        <v>0</v>
      </c>
      <c r="R9" s="34">
        <f>-'01 Investičné výdavky'!S7</f>
        <v>0</v>
      </c>
      <c r="S9" s="34">
        <f>-'01 Investičné výdavky'!T7</f>
        <v>0</v>
      </c>
      <c r="T9" s="34">
        <f>-'01 Investičné výdavky'!U7</f>
        <v>0</v>
      </c>
      <c r="U9" s="34">
        <f>-'01 Investičné výdavky'!V7</f>
        <v>0</v>
      </c>
      <c r="V9" s="34">
        <f>-'01 Investičné výdavky'!W7</f>
        <v>0</v>
      </c>
      <c r="W9" s="34">
        <f>-'01 Investičné výdavky'!X7</f>
        <v>0</v>
      </c>
      <c r="X9" s="34">
        <f>-'01 Investičné výdavky'!Y7</f>
        <v>0</v>
      </c>
      <c r="Y9" s="34">
        <f>-'01 Investičné výdavky'!Z7</f>
        <v>0</v>
      </c>
      <c r="Z9" s="34">
        <f>-'01 Investičné výdavky'!AA7</f>
        <v>0</v>
      </c>
      <c r="AA9" s="34">
        <f>-'01 Investičné výdavky'!AB7</f>
        <v>0</v>
      </c>
      <c r="AB9" s="34">
        <f>-'01 Investičné výdavky'!AC7</f>
        <v>0</v>
      </c>
      <c r="AC9" s="34">
        <f>-'01 Investičné výdavky'!AD7</f>
        <v>0</v>
      </c>
      <c r="AD9" s="34">
        <f>-'01 Investičné výdavky'!AE7</f>
        <v>0</v>
      </c>
      <c r="AE9" s="34">
        <f>-'01 Investičné výdavky'!AF7</f>
        <v>0</v>
      </c>
      <c r="AF9" s="34">
        <f>-'01 Investičné výdavky'!AG7</f>
        <v>0</v>
      </c>
      <c r="AG9" s="34">
        <f>-'01 Investičné výdavky'!AH7</f>
        <v>0</v>
      </c>
    </row>
    <row r="10" spans="1:33" x14ac:dyDescent="0.2">
      <c r="A10" s="55"/>
      <c r="B10" s="26" t="s">
        <v>100</v>
      </c>
      <c r="C10" s="58">
        <f>D10+NPV(Predpoklady!$C$5,'05 Finančná analýza'!E10:AG10)</f>
        <v>-39211691.385119565</v>
      </c>
      <c r="D10" s="34">
        <f>'03 Prevádzkové výdavky'!D8</f>
        <v>-2180400</v>
      </c>
      <c r="E10" s="34">
        <f>'03 Prevádzkové výdavky'!E8</f>
        <v>-2180400</v>
      </c>
      <c r="F10" s="34">
        <f>'03 Prevádzkové výdavky'!F8</f>
        <v>-2180400</v>
      </c>
      <c r="G10" s="34">
        <f>'03 Prevádzkové výdavky'!G8</f>
        <v>-2180400</v>
      </c>
      <c r="H10" s="34">
        <f>'03 Prevádzkové výdavky'!H8</f>
        <v>-2180400</v>
      </c>
      <c r="I10" s="34">
        <f>'03 Prevádzkové výdavky'!I8</f>
        <v>-2180400</v>
      </c>
      <c r="J10" s="34">
        <f>'03 Prevádzkové výdavky'!J8</f>
        <v>-2180400</v>
      </c>
      <c r="K10" s="34">
        <f>'03 Prevádzkové výdavky'!K8</f>
        <v>-2180400</v>
      </c>
      <c r="L10" s="34">
        <f>'03 Prevádzkové výdavky'!L8</f>
        <v>-2180400</v>
      </c>
      <c r="M10" s="34">
        <f>'03 Prevádzkové výdavky'!M8</f>
        <v>-2180400</v>
      </c>
      <c r="N10" s="34">
        <f>'03 Prevádzkové výdavky'!N8</f>
        <v>-2180400</v>
      </c>
      <c r="O10" s="34">
        <f>'03 Prevádzkové výdavky'!O8</f>
        <v>-2180400</v>
      </c>
      <c r="P10" s="34">
        <f>'03 Prevádzkové výdavky'!P8</f>
        <v>-2180400</v>
      </c>
      <c r="Q10" s="34">
        <f>'03 Prevádzkové výdavky'!Q8</f>
        <v>-2180400</v>
      </c>
      <c r="R10" s="34">
        <f>'03 Prevádzkové výdavky'!R8</f>
        <v>-2180400</v>
      </c>
      <c r="S10" s="34">
        <f>'03 Prevádzkové výdavky'!S8</f>
        <v>-2180400</v>
      </c>
      <c r="T10" s="34">
        <f>'03 Prevádzkové výdavky'!T8</f>
        <v>-2180400</v>
      </c>
      <c r="U10" s="34">
        <f>'03 Prevádzkové výdavky'!U8</f>
        <v>-2180400</v>
      </c>
      <c r="V10" s="34">
        <f>'03 Prevádzkové výdavky'!V8</f>
        <v>-2180400</v>
      </c>
      <c r="W10" s="34">
        <f>'03 Prevádzkové výdavky'!W8</f>
        <v>-2180400</v>
      </c>
      <c r="X10" s="34">
        <f>'03 Prevádzkové výdavky'!X8</f>
        <v>-2180400</v>
      </c>
      <c r="Y10" s="34">
        <f>'03 Prevádzkové výdavky'!Y8</f>
        <v>-2180400</v>
      </c>
      <c r="Z10" s="34">
        <f>'03 Prevádzkové výdavky'!Z8</f>
        <v>-2180400</v>
      </c>
      <c r="AA10" s="34">
        <f>'03 Prevádzkové výdavky'!AA8</f>
        <v>-2180400</v>
      </c>
      <c r="AB10" s="34">
        <f>'03 Prevádzkové výdavky'!AB8</f>
        <v>-2180400</v>
      </c>
      <c r="AC10" s="34">
        <f>'03 Prevádzkové výdavky'!AC8</f>
        <v>-2180400</v>
      </c>
      <c r="AD10" s="34">
        <f>'03 Prevádzkové výdavky'!AD8</f>
        <v>-2180400</v>
      </c>
      <c r="AE10" s="34">
        <f>'03 Prevádzkové výdavky'!AE8</f>
        <v>-2180400</v>
      </c>
      <c r="AF10" s="34">
        <f>'03 Prevádzkové výdavky'!AF8</f>
        <v>-2180400</v>
      </c>
      <c r="AG10" s="34">
        <f>'03 Prevádzkové výdavky'!AG8</f>
        <v>-2180400</v>
      </c>
    </row>
    <row r="11" spans="1:33" x14ac:dyDescent="0.2">
      <c r="A11" s="55"/>
      <c r="B11" s="26" t="s">
        <v>101</v>
      </c>
      <c r="C11" s="58">
        <f>D11+NPV(Predpoklady!$C$5,'05 Finančná analýza'!E11:AG11)</f>
        <v>0</v>
      </c>
      <c r="D11" s="34">
        <f>'04 Prevádzkové príjmy'!D11</f>
        <v>0</v>
      </c>
      <c r="E11" s="34">
        <f>'04 Prevádzkové príjmy'!E11</f>
        <v>0</v>
      </c>
      <c r="F11" s="34">
        <f>'04 Prevádzkové príjmy'!F11</f>
        <v>0</v>
      </c>
      <c r="G11" s="34">
        <f>'04 Prevádzkové príjmy'!G11</f>
        <v>0</v>
      </c>
      <c r="H11" s="34">
        <f>'04 Prevádzkové príjmy'!H11</f>
        <v>0</v>
      </c>
      <c r="I11" s="34">
        <f>'04 Prevádzkové príjmy'!I11</f>
        <v>0</v>
      </c>
      <c r="J11" s="34">
        <f>'04 Prevádzkové príjmy'!J11</f>
        <v>0</v>
      </c>
      <c r="K11" s="34">
        <f>'04 Prevádzkové príjmy'!K11</f>
        <v>0</v>
      </c>
      <c r="L11" s="34">
        <f>'04 Prevádzkové príjmy'!L11</f>
        <v>0</v>
      </c>
      <c r="M11" s="34">
        <f>'04 Prevádzkové príjmy'!M11</f>
        <v>0</v>
      </c>
      <c r="N11" s="34">
        <f>'04 Prevádzkové príjmy'!N11</f>
        <v>0</v>
      </c>
      <c r="O11" s="34">
        <f>'04 Prevádzkové príjmy'!O11</f>
        <v>0</v>
      </c>
      <c r="P11" s="34">
        <f>'04 Prevádzkové príjmy'!P11</f>
        <v>0</v>
      </c>
      <c r="Q11" s="34">
        <f>'04 Prevádzkové príjmy'!Q11</f>
        <v>0</v>
      </c>
      <c r="R11" s="34">
        <f>'04 Prevádzkové príjmy'!R11</f>
        <v>0</v>
      </c>
      <c r="S11" s="34">
        <f>'04 Prevádzkové príjmy'!S11</f>
        <v>0</v>
      </c>
      <c r="T11" s="34">
        <f>'04 Prevádzkové príjmy'!T11</f>
        <v>0</v>
      </c>
      <c r="U11" s="34">
        <f>'04 Prevádzkové príjmy'!U11</f>
        <v>0</v>
      </c>
      <c r="V11" s="34">
        <f>'04 Prevádzkové príjmy'!V11</f>
        <v>0</v>
      </c>
      <c r="W11" s="34">
        <f>'04 Prevádzkové príjmy'!W11</f>
        <v>0</v>
      </c>
      <c r="X11" s="34">
        <f>'04 Prevádzkové príjmy'!X11</f>
        <v>0</v>
      </c>
      <c r="Y11" s="34">
        <f>'04 Prevádzkové príjmy'!Y11</f>
        <v>0</v>
      </c>
      <c r="Z11" s="34">
        <f>'04 Prevádzkové príjmy'!Z11</f>
        <v>0</v>
      </c>
      <c r="AA11" s="34">
        <f>'04 Prevádzkové príjmy'!AA11</f>
        <v>0</v>
      </c>
      <c r="AB11" s="34">
        <f>'04 Prevádzkové príjmy'!AB11</f>
        <v>0</v>
      </c>
      <c r="AC11" s="34">
        <f>'04 Prevádzkové príjmy'!AC11</f>
        <v>0</v>
      </c>
      <c r="AD11" s="34">
        <f>'04 Prevádzkové príjmy'!AD11</f>
        <v>0</v>
      </c>
      <c r="AE11" s="34">
        <f>'04 Prevádzkové príjmy'!AE11</f>
        <v>0</v>
      </c>
      <c r="AF11" s="34">
        <f>'04 Prevádzkové príjmy'!AF11</f>
        <v>0</v>
      </c>
      <c r="AG11" s="34">
        <f>'04 Prevádzkové príjmy'!AG11</f>
        <v>0</v>
      </c>
    </row>
    <row r="12" spans="1:33" x14ac:dyDescent="0.2">
      <c r="A12" s="55"/>
      <c r="B12" s="26" t="s">
        <v>78</v>
      </c>
      <c r="C12" s="58">
        <f>D12+NPV(Predpoklady!$C$5,'05 Finančná analýza'!E12:AG12)</f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59">
        <f>'02 Zostatková hodnota'!G7</f>
        <v>0</v>
      </c>
    </row>
    <row r="13" spans="1:33" x14ac:dyDescent="0.2">
      <c r="A13" s="55"/>
      <c r="B13" s="25" t="s">
        <v>102</v>
      </c>
      <c r="C13" s="49">
        <f>D13+NPV(Predpoklady!C5,'05 Finančná analýza'!E13:AG13)</f>
        <v>-39211691.385119565</v>
      </c>
      <c r="D13" s="37">
        <f>SUM(D9:D12)</f>
        <v>-2180400</v>
      </c>
      <c r="E13" s="37">
        <f t="shared" ref="E13" si="27">SUM(E9:E12)</f>
        <v>-2180400</v>
      </c>
      <c r="F13" s="37">
        <f t="shared" ref="F13" si="28">SUM(F9:F12)</f>
        <v>-2180400</v>
      </c>
      <c r="G13" s="37">
        <f t="shared" ref="G13" si="29">SUM(G9:G12)</f>
        <v>-2180400</v>
      </c>
      <c r="H13" s="37">
        <f t="shared" ref="H13" si="30">SUM(H9:H12)</f>
        <v>-2180400</v>
      </c>
      <c r="I13" s="37">
        <f t="shared" ref="I13" si="31">SUM(I9:I12)</f>
        <v>-2180400</v>
      </c>
      <c r="J13" s="37">
        <f t="shared" ref="J13" si="32">SUM(J9:J12)</f>
        <v>-2180400</v>
      </c>
      <c r="K13" s="37">
        <f t="shared" ref="K13" si="33">SUM(K9:K12)</f>
        <v>-2180400</v>
      </c>
      <c r="L13" s="37">
        <f t="shared" ref="L13" si="34">SUM(L9:L12)</f>
        <v>-2180400</v>
      </c>
      <c r="M13" s="37">
        <f t="shared" ref="M13" si="35">SUM(M9:M12)</f>
        <v>-2180400</v>
      </c>
      <c r="N13" s="37">
        <f t="shared" ref="N13" si="36">SUM(N9:N12)</f>
        <v>-2180400</v>
      </c>
      <c r="O13" s="37">
        <f t="shared" ref="O13" si="37">SUM(O9:O12)</f>
        <v>-2180400</v>
      </c>
      <c r="P13" s="37">
        <f t="shared" ref="P13" si="38">SUM(P9:P12)</f>
        <v>-2180400</v>
      </c>
      <c r="Q13" s="37">
        <f t="shared" ref="Q13" si="39">SUM(Q9:Q12)</f>
        <v>-2180400</v>
      </c>
      <c r="R13" s="37">
        <f t="shared" ref="R13" si="40">SUM(R9:R12)</f>
        <v>-2180400</v>
      </c>
      <c r="S13" s="37">
        <f t="shared" ref="S13" si="41">SUM(S9:S12)</f>
        <v>-2180400</v>
      </c>
      <c r="T13" s="37">
        <f t="shared" ref="T13" si="42">SUM(T9:T12)</f>
        <v>-2180400</v>
      </c>
      <c r="U13" s="37">
        <f t="shared" ref="U13" si="43">SUM(U9:U12)</f>
        <v>-2180400</v>
      </c>
      <c r="V13" s="37">
        <f t="shared" ref="V13" si="44">SUM(V9:V12)</f>
        <v>-2180400</v>
      </c>
      <c r="W13" s="37">
        <f t="shared" ref="W13" si="45">SUM(W9:W12)</f>
        <v>-2180400</v>
      </c>
      <c r="X13" s="37">
        <f t="shared" ref="X13" si="46">SUM(X9:X12)</f>
        <v>-2180400</v>
      </c>
      <c r="Y13" s="37">
        <f t="shared" ref="Y13" si="47">SUM(Y9:Y12)</f>
        <v>-2180400</v>
      </c>
      <c r="Z13" s="37">
        <f t="shared" ref="Z13" si="48">SUM(Z9:Z12)</f>
        <v>-2180400</v>
      </c>
      <c r="AA13" s="37">
        <f t="shared" ref="AA13" si="49">SUM(AA9:AA12)</f>
        <v>-2180400</v>
      </c>
      <c r="AB13" s="37">
        <f t="shared" ref="AB13" si="50">SUM(AB9:AB12)</f>
        <v>-2180400</v>
      </c>
      <c r="AC13" s="37">
        <f t="shared" ref="AC13" si="51">SUM(AC9:AC12)</f>
        <v>-2180400</v>
      </c>
      <c r="AD13" s="37">
        <f t="shared" ref="AD13" si="52">SUM(AD9:AD12)</f>
        <v>-2180400</v>
      </c>
      <c r="AE13" s="37">
        <f t="shared" ref="AE13" si="53">SUM(AE9:AE12)</f>
        <v>-2180400</v>
      </c>
      <c r="AF13" s="37">
        <f t="shared" ref="AF13" si="54">SUM(AF9:AF12)</f>
        <v>-2180400</v>
      </c>
      <c r="AG13" s="37">
        <f t="shared" ref="AG13" si="55">SUM(AG9:AG12)</f>
        <v>-2180400</v>
      </c>
    </row>
    <row r="14" spans="1:33" x14ac:dyDescent="0.2">
      <c r="A14" s="55"/>
    </row>
    <row r="15" spans="1:33" x14ac:dyDescent="0.2">
      <c r="A15" s="55"/>
      <c r="B15" s="26" t="s">
        <v>103</v>
      </c>
      <c r="C15" s="60">
        <f>SUM(C9:C12)</f>
        <v>-39211691.385119565</v>
      </c>
      <c r="D15" s="26" t="s">
        <v>104</v>
      </c>
    </row>
    <row r="17" spans="2:33" x14ac:dyDescent="0.2">
      <c r="B17" s="25" t="s">
        <v>83</v>
      </c>
      <c r="C17" s="25"/>
      <c r="D17" s="26" t="s">
        <v>85</v>
      </c>
    </row>
    <row r="18" spans="2:33" x14ac:dyDescent="0.2">
      <c r="B18" s="25"/>
      <c r="C18" s="35" t="s">
        <v>64</v>
      </c>
      <c r="D18" s="50">
        <v>1</v>
      </c>
      <c r="E18" s="50">
        <v>2</v>
      </c>
      <c r="F18" s="50">
        <v>3</v>
      </c>
      <c r="G18" s="50">
        <v>4</v>
      </c>
      <c r="H18" s="50">
        <v>5</v>
      </c>
      <c r="I18" s="50">
        <v>6</v>
      </c>
      <c r="J18" s="50">
        <v>7</v>
      </c>
      <c r="K18" s="50">
        <v>8</v>
      </c>
      <c r="L18" s="50">
        <v>9</v>
      </c>
      <c r="M18" s="50">
        <v>10</v>
      </c>
      <c r="N18" s="50">
        <v>11</v>
      </c>
      <c r="O18" s="50">
        <v>12</v>
      </c>
      <c r="P18" s="50">
        <v>13</v>
      </c>
      <c r="Q18" s="50">
        <v>14</v>
      </c>
      <c r="R18" s="50">
        <v>15</v>
      </c>
      <c r="S18" s="50">
        <v>16</v>
      </c>
      <c r="T18" s="50">
        <v>17</v>
      </c>
      <c r="U18" s="50">
        <v>18</v>
      </c>
      <c r="V18" s="50">
        <v>19</v>
      </c>
      <c r="W18" s="50">
        <v>20</v>
      </c>
      <c r="X18" s="50">
        <v>21</v>
      </c>
      <c r="Y18" s="50">
        <v>22</v>
      </c>
      <c r="Z18" s="50">
        <v>23</v>
      </c>
      <c r="AA18" s="50">
        <v>24</v>
      </c>
      <c r="AB18" s="50">
        <v>25</v>
      </c>
      <c r="AC18" s="50">
        <v>26</v>
      </c>
      <c r="AD18" s="50">
        <v>27</v>
      </c>
      <c r="AE18" s="50">
        <v>28</v>
      </c>
      <c r="AF18" s="50">
        <v>29</v>
      </c>
      <c r="AG18" s="50">
        <v>30</v>
      </c>
    </row>
    <row r="19" spans="2:33" x14ac:dyDescent="0.2">
      <c r="B19" s="44" t="s">
        <v>97</v>
      </c>
      <c r="C19" s="57" t="s">
        <v>98</v>
      </c>
      <c r="D19" s="45">
        <v>2022</v>
      </c>
      <c r="E19" s="45">
        <f>$D$19+D18</f>
        <v>2023</v>
      </c>
      <c r="F19" s="45">
        <f>$D$19+E18</f>
        <v>2024</v>
      </c>
      <c r="G19" s="45">
        <f t="shared" ref="G19:AG19" si="56">$D$19+F18</f>
        <v>2025</v>
      </c>
      <c r="H19" s="45">
        <f t="shared" si="56"/>
        <v>2026</v>
      </c>
      <c r="I19" s="45">
        <f t="shared" si="56"/>
        <v>2027</v>
      </c>
      <c r="J19" s="45">
        <f t="shared" si="56"/>
        <v>2028</v>
      </c>
      <c r="K19" s="45">
        <f t="shared" si="56"/>
        <v>2029</v>
      </c>
      <c r="L19" s="45">
        <f t="shared" si="56"/>
        <v>2030</v>
      </c>
      <c r="M19" s="45">
        <f t="shared" si="56"/>
        <v>2031</v>
      </c>
      <c r="N19" s="45">
        <f t="shared" si="56"/>
        <v>2032</v>
      </c>
      <c r="O19" s="45">
        <f t="shared" si="56"/>
        <v>2033</v>
      </c>
      <c r="P19" s="45">
        <f t="shared" si="56"/>
        <v>2034</v>
      </c>
      <c r="Q19" s="45">
        <f t="shared" si="56"/>
        <v>2035</v>
      </c>
      <c r="R19" s="45">
        <f t="shared" si="56"/>
        <v>2036</v>
      </c>
      <c r="S19" s="45">
        <f t="shared" si="56"/>
        <v>2037</v>
      </c>
      <c r="T19" s="45">
        <f t="shared" si="56"/>
        <v>2038</v>
      </c>
      <c r="U19" s="45">
        <f t="shared" si="56"/>
        <v>2039</v>
      </c>
      <c r="V19" s="45">
        <f t="shared" si="56"/>
        <v>2040</v>
      </c>
      <c r="W19" s="45">
        <f t="shared" si="56"/>
        <v>2041</v>
      </c>
      <c r="X19" s="45">
        <f t="shared" si="56"/>
        <v>2042</v>
      </c>
      <c r="Y19" s="45">
        <f t="shared" si="56"/>
        <v>2043</v>
      </c>
      <c r="Z19" s="45">
        <f t="shared" si="56"/>
        <v>2044</v>
      </c>
      <c r="AA19" s="45">
        <f t="shared" si="56"/>
        <v>2045</v>
      </c>
      <c r="AB19" s="45">
        <f t="shared" si="56"/>
        <v>2046</v>
      </c>
      <c r="AC19" s="45">
        <f t="shared" si="56"/>
        <v>2047</v>
      </c>
      <c r="AD19" s="45">
        <f t="shared" si="56"/>
        <v>2048</v>
      </c>
      <c r="AE19" s="45">
        <f t="shared" si="56"/>
        <v>2049</v>
      </c>
      <c r="AF19" s="45">
        <f t="shared" si="56"/>
        <v>2050</v>
      </c>
      <c r="AG19" s="45">
        <f t="shared" si="56"/>
        <v>2051</v>
      </c>
    </row>
    <row r="20" spans="2:33" x14ac:dyDescent="0.2">
      <c r="B20" s="26" t="s">
        <v>99</v>
      </c>
      <c r="C20" s="58">
        <f>D20+NPV(Predpoklady!$C$5,'05 Finančná analýza'!E20:AG20)</f>
        <v>-17191746.262385767</v>
      </c>
      <c r="D20" s="34">
        <f>-'01 Investičné výdavky'!E15</f>
        <v>-940000</v>
      </c>
      <c r="E20" s="34">
        <f>-'01 Investičné výdavky'!F15</f>
        <v>-2820000</v>
      </c>
      <c r="F20" s="34">
        <f>-'01 Investičné výdavky'!G15</f>
        <v>-6580000</v>
      </c>
      <c r="G20" s="34">
        <f>-'01 Investičné výdavky'!H15</f>
        <v>-6580000</v>
      </c>
      <c r="H20" s="34">
        <f>-'01 Investičné výdavky'!I15</f>
        <v>-1880000</v>
      </c>
      <c r="I20" s="34">
        <f>'01 Investičné výdavky'!J15</f>
        <v>0</v>
      </c>
      <c r="J20" s="34">
        <f>'01 Investičné výdavky'!K15</f>
        <v>0</v>
      </c>
      <c r="K20" s="34">
        <f>'01 Investičné výdavky'!L15</f>
        <v>0</v>
      </c>
      <c r="L20" s="34">
        <f>'01 Investičné výdavky'!M15</f>
        <v>0</v>
      </c>
      <c r="M20" s="34">
        <f>'01 Investičné výdavky'!N15</f>
        <v>0</v>
      </c>
      <c r="N20" s="34">
        <f>'01 Investičné výdavky'!O7</f>
        <v>0</v>
      </c>
      <c r="O20" s="34">
        <f>'01 Investičné výdavky'!P7</f>
        <v>0</v>
      </c>
      <c r="P20" s="34">
        <f>'01 Investičné výdavky'!Q7</f>
        <v>0</v>
      </c>
      <c r="Q20" s="34">
        <f>'01 Investičné výdavky'!R7</f>
        <v>0</v>
      </c>
      <c r="R20" s="34">
        <f>'01 Investičné výdavky'!S7</f>
        <v>0</v>
      </c>
      <c r="S20" s="34">
        <f>'01 Investičné výdavky'!T7</f>
        <v>0</v>
      </c>
      <c r="T20" s="34">
        <f>'01 Investičné výdavky'!U7</f>
        <v>0</v>
      </c>
      <c r="U20" s="34">
        <f>'01 Investičné výdavky'!V7</f>
        <v>0</v>
      </c>
      <c r="V20" s="34">
        <f>'01 Investičné výdavky'!W7</f>
        <v>0</v>
      </c>
      <c r="W20" s="34">
        <f>'01 Investičné výdavky'!X7</f>
        <v>0</v>
      </c>
      <c r="X20" s="34">
        <f>'01 Investičné výdavky'!Y7</f>
        <v>0</v>
      </c>
      <c r="Y20" s="34">
        <f>'01 Investičné výdavky'!Z7</f>
        <v>0</v>
      </c>
      <c r="Z20" s="34">
        <f>'01 Investičné výdavky'!AA7</f>
        <v>0</v>
      </c>
      <c r="AA20" s="34">
        <f>'01 Investičné výdavky'!AB7</f>
        <v>0</v>
      </c>
      <c r="AB20" s="34">
        <f>'01 Investičné výdavky'!AC7</f>
        <v>0</v>
      </c>
      <c r="AC20" s="34">
        <f>'01 Investičné výdavky'!AD7</f>
        <v>0</v>
      </c>
      <c r="AD20" s="34">
        <f>'01 Investičné výdavky'!AE7</f>
        <v>0</v>
      </c>
      <c r="AE20" s="34">
        <f>'01 Investičné výdavky'!AF7</f>
        <v>0</v>
      </c>
      <c r="AF20" s="34">
        <f>'01 Investičné výdavky'!AG7</f>
        <v>0</v>
      </c>
      <c r="AG20" s="34">
        <f>'01 Investičné výdavky'!AH7</f>
        <v>0</v>
      </c>
    </row>
    <row r="21" spans="2:33" x14ac:dyDescent="0.2">
      <c r="B21" s="26" t="s">
        <v>100</v>
      </c>
      <c r="C21" s="58">
        <f>D21+NPV(Predpoklady!$C$5,'05 Finančná analýza'!E21:AG21)</f>
        <v>-17960957.331313726</v>
      </c>
      <c r="D21" s="34">
        <f>'03 Prevádzkové výdavky'!D16</f>
        <v>-2180400</v>
      </c>
      <c r="E21" s="34">
        <f>'03 Prevádzkové výdavky'!E16</f>
        <v>-2180400</v>
      </c>
      <c r="F21" s="34">
        <f>'03 Prevádzkové výdavky'!F16</f>
        <v>-2180400</v>
      </c>
      <c r="G21" s="34">
        <f>'03 Prevádzkové výdavky'!G16</f>
        <v>-2180400</v>
      </c>
      <c r="H21" s="34">
        <f>'03 Prevádzkové výdavky'!H16</f>
        <v>-2180400</v>
      </c>
      <c r="I21" s="34">
        <f>'03 Prevádzkové výdavky'!I16</f>
        <v>-589040</v>
      </c>
      <c r="J21" s="34">
        <f>'03 Prevádzkové výdavky'!J16</f>
        <v>-589040</v>
      </c>
      <c r="K21" s="34">
        <f>'03 Prevádzkové výdavky'!K16</f>
        <v>-589040</v>
      </c>
      <c r="L21" s="34">
        <f>'03 Prevádzkové výdavky'!L16</f>
        <v>-589040</v>
      </c>
      <c r="M21" s="34">
        <f>'03 Prevádzkové výdavky'!M16</f>
        <v>-589040</v>
      </c>
      <c r="N21" s="34">
        <f>'03 Prevádzkové výdavky'!N16</f>
        <v>-589040</v>
      </c>
      <c r="O21" s="34">
        <f>'03 Prevádzkové výdavky'!O16</f>
        <v>-589040</v>
      </c>
      <c r="P21" s="34">
        <f>'03 Prevádzkové výdavky'!P16</f>
        <v>-589040</v>
      </c>
      <c r="Q21" s="34">
        <f>'03 Prevádzkové výdavky'!Q16</f>
        <v>-589040</v>
      </c>
      <c r="R21" s="34">
        <f>'03 Prevádzkové výdavky'!R16</f>
        <v>-589040</v>
      </c>
      <c r="S21" s="34">
        <f>'03 Prevádzkové výdavky'!S16</f>
        <v>-589040</v>
      </c>
      <c r="T21" s="34">
        <f>'03 Prevádzkové výdavky'!T16</f>
        <v>-589040</v>
      </c>
      <c r="U21" s="34">
        <f>'03 Prevádzkové výdavky'!U16</f>
        <v>-589040</v>
      </c>
      <c r="V21" s="34">
        <f>'03 Prevádzkové výdavky'!V16</f>
        <v>-589040</v>
      </c>
      <c r="W21" s="34">
        <f>'03 Prevádzkové výdavky'!W16</f>
        <v>-589040</v>
      </c>
      <c r="X21" s="34">
        <f>'03 Prevádzkové výdavky'!X16</f>
        <v>-589040</v>
      </c>
      <c r="Y21" s="34">
        <f>'03 Prevádzkové výdavky'!Y16</f>
        <v>-589040</v>
      </c>
      <c r="Z21" s="34">
        <f>'03 Prevádzkové výdavky'!Z16</f>
        <v>-589040</v>
      </c>
      <c r="AA21" s="34">
        <f>'03 Prevádzkové výdavky'!AA16</f>
        <v>-589040</v>
      </c>
      <c r="AB21" s="34">
        <f>'03 Prevádzkové výdavky'!AB16</f>
        <v>-589040</v>
      </c>
      <c r="AC21" s="34">
        <f>'03 Prevádzkové výdavky'!AC16</f>
        <v>-589040</v>
      </c>
      <c r="AD21" s="34">
        <f>'03 Prevádzkové výdavky'!AD16</f>
        <v>-589040</v>
      </c>
      <c r="AE21" s="34">
        <f>'03 Prevádzkové výdavky'!AE16</f>
        <v>-589040</v>
      </c>
      <c r="AF21" s="34">
        <f>'03 Prevádzkové výdavky'!AF16</f>
        <v>-589040</v>
      </c>
      <c r="AG21" s="34">
        <f>'03 Prevádzkové výdavky'!AG16</f>
        <v>-589040</v>
      </c>
    </row>
    <row r="22" spans="2:33" x14ac:dyDescent="0.2">
      <c r="B22" s="26" t="s">
        <v>101</v>
      </c>
      <c r="C22" s="58">
        <f>D22+NPV(Predpoklady!$C$5,'05 Finančná analýza'!E22:AG22)</f>
        <v>0</v>
      </c>
      <c r="D22" s="34">
        <f>'04 Prevádzkové príjmy'!D12</f>
        <v>0</v>
      </c>
      <c r="E22" s="34">
        <f>'04 Prevádzkové príjmy'!E12</f>
        <v>0</v>
      </c>
      <c r="F22" s="34">
        <f>'04 Prevádzkové príjmy'!F12</f>
        <v>0</v>
      </c>
      <c r="G22" s="34">
        <f>'04 Prevádzkové príjmy'!G12</f>
        <v>0</v>
      </c>
      <c r="H22" s="34">
        <f>'04 Prevádzkové príjmy'!H12</f>
        <v>0</v>
      </c>
      <c r="I22" s="34">
        <f>'04 Prevádzkové príjmy'!I12</f>
        <v>0</v>
      </c>
      <c r="J22" s="34">
        <f>'04 Prevádzkové príjmy'!J12</f>
        <v>0</v>
      </c>
      <c r="K22" s="34">
        <f>'04 Prevádzkové príjmy'!K12</f>
        <v>0</v>
      </c>
      <c r="L22" s="34">
        <f>'04 Prevádzkové príjmy'!L12</f>
        <v>0</v>
      </c>
      <c r="M22" s="34">
        <f>'04 Prevádzkové príjmy'!M12</f>
        <v>0</v>
      </c>
      <c r="N22" s="34">
        <f>'04 Prevádzkové príjmy'!N12</f>
        <v>0</v>
      </c>
      <c r="O22" s="34">
        <f>'04 Prevádzkové príjmy'!O12</f>
        <v>0</v>
      </c>
      <c r="P22" s="34">
        <f>'04 Prevádzkové príjmy'!P12</f>
        <v>0</v>
      </c>
      <c r="Q22" s="34">
        <f>'04 Prevádzkové príjmy'!Q12</f>
        <v>0</v>
      </c>
      <c r="R22" s="34">
        <f>'04 Prevádzkové príjmy'!R12</f>
        <v>0</v>
      </c>
      <c r="S22" s="34">
        <f>'04 Prevádzkové príjmy'!S12</f>
        <v>0</v>
      </c>
      <c r="T22" s="34">
        <f>'04 Prevádzkové príjmy'!T12</f>
        <v>0</v>
      </c>
      <c r="U22" s="34">
        <f>'04 Prevádzkové príjmy'!U12</f>
        <v>0</v>
      </c>
      <c r="V22" s="34">
        <f>'04 Prevádzkové príjmy'!V12</f>
        <v>0</v>
      </c>
      <c r="W22" s="34">
        <f>'04 Prevádzkové príjmy'!W12</f>
        <v>0</v>
      </c>
      <c r="X22" s="34">
        <f>'04 Prevádzkové príjmy'!X12</f>
        <v>0</v>
      </c>
      <c r="Y22" s="34">
        <f>'04 Prevádzkové príjmy'!Y12</f>
        <v>0</v>
      </c>
      <c r="Z22" s="34">
        <f>'04 Prevádzkové príjmy'!Z12</f>
        <v>0</v>
      </c>
      <c r="AA22" s="34">
        <f>'04 Prevádzkové príjmy'!AA12</f>
        <v>0</v>
      </c>
      <c r="AB22" s="34">
        <f>'04 Prevádzkové príjmy'!AB12</f>
        <v>0</v>
      </c>
      <c r="AC22" s="34">
        <f>'04 Prevádzkové príjmy'!AC12</f>
        <v>0</v>
      </c>
      <c r="AD22" s="34">
        <f>'04 Prevádzkové príjmy'!AD12</f>
        <v>0</v>
      </c>
      <c r="AE22" s="34">
        <f>'04 Prevádzkové príjmy'!AE12</f>
        <v>0</v>
      </c>
      <c r="AF22" s="34">
        <f>'04 Prevádzkové príjmy'!AF12</f>
        <v>0</v>
      </c>
      <c r="AG22" s="34">
        <f>'04 Prevádzkové príjmy'!AG12</f>
        <v>0</v>
      </c>
    </row>
    <row r="23" spans="2:33" x14ac:dyDescent="0.2">
      <c r="B23" s="26" t="s">
        <v>78</v>
      </c>
      <c r="C23" s="58">
        <f>D23+NPV(Predpoklady!$C$5,'05 Finančná analýza'!E23:AG23)</f>
        <v>3516477.1811261843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59">
        <f>'02 Zostatková hodnota'!G12</f>
        <v>10966666.666666668</v>
      </c>
    </row>
    <row r="24" spans="2:33" x14ac:dyDescent="0.2">
      <c r="B24" s="25" t="s">
        <v>102</v>
      </c>
      <c r="C24" s="49">
        <f>D24+NPV(Predpoklady!C5,'05 Finančná analýza'!E24:AG24)</f>
        <v>-31636226.4125733</v>
      </c>
      <c r="D24" s="37">
        <f>SUM(D20:D23)</f>
        <v>-3120400</v>
      </c>
      <c r="E24" s="37">
        <f t="shared" ref="E24:AG24" si="57">SUM(E20:E23)</f>
        <v>-5000400</v>
      </c>
      <c r="F24" s="37">
        <f t="shared" si="57"/>
        <v>-8760400</v>
      </c>
      <c r="G24" s="37">
        <f t="shared" si="57"/>
        <v>-8760400</v>
      </c>
      <c r="H24" s="37">
        <f t="shared" si="57"/>
        <v>-4060400</v>
      </c>
      <c r="I24" s="37">
        <f t="shared" si="57"/>
        <v>-589040</v>
      </c>
      <c r="J24" s="37">
        <f t="shared" si="57"/>
        <v>-589040</v>
      </c>
      <c r="K24" s="37">
        <f t="shared" si="57"/>
        <v>-589040</v>
      </c>
      <c r="L24" s="37">
        <f t="shared" si="57"/>
        <v>-589040</v>
      </c>
      <c r="M24" s="37">
        <f t="shared" si="57"/>
        <v>-589040</v>
      </c>
      <c r="N24" s="37">
        <f t="shared" si="57"/>
        <v>-589040</v>
      </c>
      <c r="O24" s="37">
        <f t="shared" si="57"/>
        <v>-589040</v>
      </c>
      <c r="P24" s="37">
        <f t="shared" si="57"/>
        <v>-589040</v>
      </c>
      <c r="Q24" s="37">
        <f t="shared" si="57"/>
        <v>-589040</v>
      </c>
      <c r="R24" s="37">
        <f t="shared" si="57"/>
        <v>-589040</v>
      </c>
      <c r="S24" s="37">
        <f t="shared" si="57"/>
        <v>-589040</v>
      </c>
      <c r="T24" s="37">
        <f t="shared" si="57"/>
        <v>-589040</v>
      </c>
      <c r="U24" s="37">
        <f t="shared" si="57"/>
        <v>-589040</v>
      </c>
      <c r="V24" s="37">
        <f t="shared" si="57"/>
        <v>-589040</v>
      </c>
      <c r="W24" s="37">
        <f t="shared" si="57"/>
        <v>-589040</v>
      </c>
      <c r="X24" s="37">
        <f t="shared" si="57"/>
        <v>-589040</v>
      </c>
      <c r="Y24" s="37">
        <f t="shared" si="57"/>
        <v>-589040</v>
      </c>
      <c r="Z24" s="37">
        <f t="shared" si="57"/>
        <v>-589040</v>
      </c>
      <c r="AA24" s="37">
        <f t="shared" si="57"/>
        <v>-589040</v>
      </c>
      <c r="AB24" s="37">
        <f t="shared" si="57"/>
        <v>-589040</v>
      </c>
      <c r="AC24" s="37">
        <f t="shared" si="57"/>
        <v>-589040</v>
      </c>
      <c r="AD24" s="37">
        <f t="shared" si="57"/>
        <v>-589040</v>
      </c>
      <c r="AE24" s="37">
        <f t="shared" si="57"/>
        <v>-589040</v>
      </c>
      <c r="AF24" s="37">
        <f t="shared" si="57"/>
        <v>-589040</v>
      </c>
      <c r="AG24" s="37">
        <f t="shared" si="57"/>
        <v>10377626.666666668</v>
      </c>
    </row>
    <row r="26" spans="2:33" x14ac:dyDescent="0.2">
      <c r="B26" s="26" t="s">
        <v>103</v>
      </c>
      <c r="C26" s="60">
        <f>SUM(C20:C23)</f>
        <v>-31636226.412573308</v>
      </c>
      <c r="D26" s="26" t="s">
        <v>104</v>
      </c>
    </row>
    <row r="28" spans="2:33" x14ac:dyDescent="0.2">
      <c r="B28" s="25" t="s">
        <v>84</v>
      </c>
      <c r="C28" s="25"/>
      <c r="D28" s="26" t="s">
        <v>85</v>
      </c>
    </row>
    <row r="29" spans="2:33" x14ac:dyDescent="0.2">
      <c r="B29" s="25"/>
      <c r="C29" s="35" t="s">
        <v>64</v>
      </c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50">
        <v>6</v>
      </c>
      <c r="J29" s="50">
        <v>7</v>
      </c>
      <c r="K29" s="50">
        <v>8</v>
      </c>
      <c r="L29" s="50">
        <v>9</v>
      </c>
      <c r="M29" s="50">
        <v>10</v>
      </c>
      <c r="N29" s="50">
        <v>11</v>
      </c>
      <c r="O29" s="50">
        <v>12</v>
      </c>
      <c r="P29" s="50">
        <v>13</v>
      </c>
      <c r="Q29" s="50">
        <v>14</v>
      </c>
      <c r="R29" s="50">
        <v>15</v>
      </c>
      <c r="S29" s="50">
        <v>16</v>
      </c>
      <c r="T29" s="50">
        <v>17</v>
      </c>
      <c r="U29" s="50">
        <v>18</v>
      </c>
      <c r="V29" s="50">
        <v>19</v>
      </c>
      <c r="W29" s="50">
        <v>20</v>
      </c>
      <c r="X29" s="50">
        <v>21</v>
      </c>
      <c r="Y29" s="50">
        <v>22</v>
      </c>
      <c r="Z29" s="50">
        <v>23</v>
      </c>
      <c r="AA29" s="50">
        <v>24</v>
      </c>
      <c r="AB29" s="50">
        <v>25</v>
      </c>
      <c r="AC29" s="50">
        <v>26</v>
      </c>
      <c r="AD29" s="50">
        <v>27</v>
      </c>
      <c r="AE29" s="50">
        <v>28</v>
      </c>
      <c r="AF29" s="50">
        <v>29</v>
      </c>
      <c r="AG29" s="50">
        <v>30</v>
      </c>
    </row>
    <row r="30" spans="2:33" x14ac:dyDescent="0.2">
      <c r="B30" s="44" t="s">
        <v>97</v>
      </c>
      <c r="C30" s="57" t="s">
        <v>98</v>
      </c>
      <c r="D30" s="45">
        <v>2022</v>
      </c>
      <c r="E30" s="45">
        <f>$D$19+D29</f>
        <v>2023</v>
      </c>
      <c r="F30" s="45">
        <f>$D$19+E29</f>
        <v>2024</v>
      </c>
      <c r="G30" s="45">
        <f t="shared" ref="G30" si="58">$D$19+F29</f>
        <v>2025</v>
      </c>
      <c r="H30" s="45">
        <f t="shared" ref="H30" si="59">$D$19+G29</f>
        <v>2026</v>
      </c>
      <c r="I30" s="45">
        <f t="shared" ref="I30" si="60">$D$19+H29</f>
        <v>2027</v>
      </c>
      <c r="J30" s="45">
        <f t="shared" ref="J30" si="61">$D$19+I29</f>
        <v>2028</v>
      </c>
      <c r="K30" s="45">
        <f t="shared" ref="K30" si="62">$D$19+J29</f>
        <v>2029</v>
      </c>
      <c r="L30" s="45">
        <f t="shared" ref="L30" si="63">$D$19+K29</f>
        <v>2030</v>
      </c>
      <c r="M30" s="45">
        <f t="shared" ref="M30" si="64">$D$19+L29</f>
        <v>2031</v>
      </c>
      <c r="N30" s="45">
        <f t="shared" ref="N30" si="65">$D$19+M29</f>
        <v>2032</v>
      </c>
      <c r="O30" s="45">
        <f t="shared" ref="O30" si="66">$D$19+N29</f>
        <v>2033</v>
      </c>
      <c r="P30" s="45">
        <f t="shared" ref="P30" si="67">$D$19+O29</f>
        <v>2034</v>
      </c>
      <c r="Q30" s="45">
        <f t="shared" ref="Q30" si="68">$D$19+P29</f>
        <v>2035</v>
      </c>
      <c r="R30" s="45">
        <f t="shared" ref="R30" si="69">$D$19+Q29</f>
        <v>2036</v>
      </c>
      <c r="S30" s="45">
        <f t="shared" ref="S30" si="70">$D$19+R29</f>
        <v>2037</v>
      </c>
      <c r="T30" s="45">
        <f t="shared" ref="T30" si="71">$D$19+S29</f>
        <v>2038</v>
      </c>
      <c r="U30" s="45">
        <f t="shared" ref="U30" si="72">$D$19+T29</f>
        <v>2039</v>
      </c>
      <c r="V30" s="45">
        <f t="shared" ref="V30" si="73">$D$19+U29</f>
        <v>2040</v>
      </c>
      <c r="W30" s="45">
        <f t="shared" ref="W30" si="74">$D$19+V29</f>
        <v>2041</v>
      </c>
      <c r="X30" s="45">
        <f t="shared" ref="X30" si="75">$D$19+W29</f>
        <v>2042</v>
      </c>
      <c r="Y30" s="45">
        <f t="shared" ref="Y30" si="76">$D$19+X29</f>
        <v>2043</v>
      </c>
      <c r="Z30" s="45">
        <f t="shared" ref="Z30" si="77">$D$19+Y29</f>
        <v>2044</v>
      </c>
      <c r="AA30" s="45">
        <f t="shared" ref="AA30" si="78">$D$19+Z29</f>
        <v>2045</v>
      </c>
      <c r="AB30" s="45">
        <f t="shared" ref="AB30" si="79">$D$19+AA29</f>
        <v>2046</v>
      </c>
      <c r="AC30" s="45">
        <f t="shared" ref="AC30" si="80">$D$19+AB29</f>
        <v>2047</v>
      </c>
      <c r="AD30" s="45">
        <f t="shared" ref="AD30" si="81">$D$19+AC29</f>
        <v>2048</v>
      </c>
      <c r="AE30" s="45">
        <f t="shared" ref="AE30" si="82">$D$19+AD29</f>
        <v>2049</v>
      </c>
      <c r="AF30" s="45">
        <f t="shared" ref="AF30" si="83">$D$19+AE29</f>
        <v>2050</v>
      </c>
      <c r="AG30" s="45">
        <f t="shared" ref="AG30" si="84">$D$19+AF29</f>
        <v>2051</v>
      </c>
    </row>
    <row r="31" spans="2:33" x14ac:dyDescent="0.2">
      <c r="B31" s="26" t="s">
        <v>99</v>
      </c>
      <c r="C31" s="58">
        <f>D31+NPV(Predpoklady!$C$5,'05 Finančná analýza'!E31:AG31)</f>
        <v>-3000000</v>
      </c>
      <c r="D31" s="34">
        <f>-'01 Investičné výdavky'!E23</f>
        <v>-3000000</v>
      </c>
      <c r="E31" s="34">
        <f>-'01 Investičné výdavky'!F23</f>
        <v>0</v>
      </c>
      <c r="F31" s="34">
        <f>-'01 Investičné výdavky'!G23</f>
        <v>0</v>
      </c>
      <c r="G31" s="34">
        <f>-'01 Investičné výdavky'!H23</f>
        <v>0</v>
      </c>
      <c r="H31" s="34">
        <f>-'01 Investičné výdavky'!I23</f>
        <v>0</v>
      </c>
      <c r="I31" s="34">
        <f>-'01 Investičné výdavky'!J23</f>
        <v>0</v>
      </c>
      <c r="J31" s="34">
        <f>-'01 Investičné výdavky'!K23</f>
        <v>0</v>
      </c>
      <c r="K31" s="34">
        <f>-'01 Investičné výdavky'!L23</f>
        <v>0</v>
      </c>
      <c r="L31" s="34">
        <f>-'01 Investičné výdavky'!M23</f>
        <v>0</v>
      </c>
      <c r="M31" s="34">
        <f>-'01 Investičné výdavky'!N23</f>
        <v>0</v>
      </c>
      <c r="N31" s="34">
        <f>-'01 Investičné výdavky'!O23</f>
        <v>0</v>
      </c>
      <c r="O31" s="34">
        <f>-'01 Investičné výdavky'!P23</f>
        <v>0</v>
      </c>
      <c r="P31" s="34">
        <f>-'01 Investičné výdavky'!Q23</f>
        <v>0</v>
      </c>
      <c r="Q31" s="34">
        <f>-'01 Investičné výdavky'!R23</f>
        <v>0</v>
      </c>
      <c r="R31" s="34">
        <f>-'01 Investičné výdavky'!S23</f>
        <v>0</v>
      </c>
      <c r="S31" s="34">
        <f>-'01 Investičné výdavky'!T23</f>
        <v>0</v>
      </c>
      <c r="T31" s="34">
        <f>-'01 Investičné výdavky'!U23</f>
        <v>0</v>
      </c>
      <c r="U31" s="34">
        <f>-'01 Investičné výdavky'!V23</f>
        <v>0</v>
      </c>
      <c r="V31" s="34">
        <f>-'01 Investičné výdavky'!W23</f>
        <v>0</v>
      </c>
      <c r="W31" s="34">
        <f>-'01 Investičné výdavky'!X23</f>
        <v>0</v>
      </c>
      <c r="X31" s="34">
        <f>-'01 Investičné výdavky'!Y23</f>
        <v>0</v>
      </c>
      <c r="Y31" s="34">
        <f>-'01 Investičné výdavky'!Z23</f>
        <v>0</v>
      </c>
      <c r="Z31" s="34">
        <f>-'01 Investičné výdavky'!AA23</f>
        <v>0</v>
      </c>
      <c r="AA31" s="34">
        <f>-'01 Investičné výdavky'!AB23</f>
        <v>0</v>
      </c>
      <c r="AB31" s="34">
        <f>-'01 Investičné výdavky'!AC23</f>
        <v>0</v>
      </c>
      <c r="AC31" s="34">
        <f>-'01 Investičné výdavky'!AD23</f>
        <v>0</v>
      </c>
      <c r="AD31" s="34">
        <f>-'01 Investičné výdavky'!AE23</f>
        <v>0</v>
      </c>
      <c r="AE31" s="34">
        <f>-'01 Investičné výdavky'!AF23</f>
        <v>0</v>
      </c>
      <c r="AF31" s="34">
        <f>-'01 Investičné výdavky'!AG23</f>
        <v>0</v>
      </c>
      <c r="AG31" s="34">
        <f>-'01 Investičné výdavky'!AH23</f>
        <v>0</v>
      </c>
    </row>
    <row r="32" spans="2:33" x14ac:dyDescent="0.2">
      <c r="B32" s="26" t="s">
        <v>100</v>
      </c>
      <c r="C32" s="58">
        <f>D32+NPV(Predpoklady!$C$5,'05 Finančná analýza'!E32:AG32)</f>
        <v>-33853893.203175083</v>
      </c>
      <c r="D32" s="34">
        <f>'03 Prevádzkové výdavky'!D24</f>
        <v>-1882475</v>
      </c>
      <c r="E32" s="34">
        <f>'03 Prevádzkové výdavky'!E24</f>
        <v>-1882475</v>
      </c>
      <c r="F32" s="34">
        <f>'03 Prevádzkové výdavky'!F24</f>
        <v>-1882475</v>
      </c>
      <c r="G32" s="34">
        <f>'03 Prevádzkové výdavky'!G24</f>
        <v>-1882475</v>
      </c>
      <c r="H32" s="34">
        <f>'03 Prevádzkové výdavky'!H24</f>
        <v>-1882475</v>
      </c>
      <c r="I32" s="34">
        <f>'03 Prevádzkové výdavky'!I24</f>
        <v>-1882475</v>
      </c>
      <c r="J32" s="34">
        <f>'03 Prevádzkové výdavky'!J24</f>
        <v>-1882475</v>
      </c>
      <c r="K32" s="34">
        <f>'03 Prevádzkové výdavky'!K24</f>
        <v>-1882475</v>
      </c>
      <c r="L32" s="34">
        <f>'03 Prevádzkové výdavky'!L24</f>
        <v>-1882475</v>
      </c>
      <c r="M32" s="34">
        <f>'03 Prevádzkové výdavky'!M24</f>
        <v>-1882475</v>
      </c>
      <c r="N32" s="34">
        <f>'03 Prevádzkové výdavky'!N24</f>
        <v>-1882475</v>
      </c>
      <c r="O32" s="34">
        <f>'03 Prevádzkové výdavky'!O24</f>
        <v>-1882475</v>
      </c>
      <c r="P32" s="34">
        <f>'03 Prevádzkové výdavky'!P24</f>
        <v>-1882475</v>
      </c>
      <c r="Q32" s="34">
        <f>'03 Prevádzkové výdavky'!Q24</f>
        <v>-1882475</v>
      </c>
      <c r="R32" s="34">
        <f>'03 Prevádzkové výdavky'!R24</f>
        <v>-1882475</v>
      </c>
      <c r="S32" s="34">
        <f>'03 Prevádzkové výdavky'!S24</f>
        <v>-1882475</v>
      </c>
      <c r="T32" s="34">
        <f>'03 Prevádzkové výdavky'!T24</f>
        <v>-1882475</v>
      </c>
      <c r="U32" s="34">
        <f>'03 Prevádzkové výdavky'!U24</f>
        <v>-1882475</v>
      </c>
      <c r="V32" s="34">
        <f>'03 Prevádzkové výdavky'!V24</f>
        <v>-1882475</v>
      </c>
      <c r="W32" s="34">
        <f>'03 Prevádzkové výdavky'!W24</f>
        <v>-1882475</v>
      </c>
      <c r="X32" s="34">
        <f>'03 Prevádzkové výdavky'!X24</f>
        <v>-1882475</v>
      </c>
      <c r="Y32" s="34">
        <f>'03 Prevádzkové výdavky'!Y24</f>
        <v>-1882475</v>
      </c>
      <c r="Z32" s="34">
        <f>'03 Prevádzkové výdavky'!Z24</f>
        <v>-1882475</v>
      </c>
      <c r="AA32" s="34">
        <f>'03 Prevádzkové výdavky'!AA24</f>
        <v>-1882475</v>
      </c>
      <c r="AB32" s="34">
        <f>'03 Prevádzkové výdavky'!AB24</f>
        <v>-1882475</v>
      </c>
      <c r="AC32" s="34">
        <f>'03 Prevádzkové výdavky'!AC24</f>
        <v>-1882475</v>
      </c>
      <c r="AD32" s="34">
        <f>'03 Prevádzkové výdavky'!AD24</f>
        <v>-1882475</v>
      </c>
      <c r="AE32" s="34">
        <f>'03 Prevádzkové výdavky'!AE24</f>
        <v>-1882475</v>
      </c>
      <c r="AF32" s="34">
        <f>'03 Prevádzkové výdavky'!AF24</f>
        <v>-1882475</v>
      </c>
      <c r="AG32" s="34">
        <f>'03 Prevádzkové výdavky'!AG24</f>
        <v>-1882475</v>
      </c>
    </row>
    <row r="33" spans="2:33" x14ac:dyDescent="0.2">
      <c r="B33" s="26" t="s">
        <v>101</v>
      </c>
      <c r="C33" s="58">
        <f>D33+NPV(Predpoklady!$C$5,'05 Finančná analýza'!E33:AG33)</f>
        <v>0</v>
      </c>
      <c r="D33" s="34">
        <f>'04 Prevádzkové príjmy'!D23</f>
        <v>0</v>
      </c>
      <c r="E33" s="34">
        <f>'04 Prevádzkové príjmy'!E23</f>
        <v>0</v>
      </c>
      <c r="F33" s="34">
        <f>'04 Prevádzkové príjmy'!F23</f>
        <v>0</v>
      </c>
      <c r="G33" s="34">
        <f>'04 Prevádzkové príjmy'!G23</f>
        <v>0</v>
      </c>
      <c r="H33" s="34">
        <f>'04 Prevádzkové príjmy'!H23</f>
        <v>0</v>
      </c>
      <c r="I33" s="34">
        <f>'04 Prevádzkové príjmy'!I23</f>
        <v>0</v>
      </c>
      <c r="J33" s="34">
        <f>'04 Prevádzkové príjmy'!J23</f>
        <v>0</v>
      </c>
      <c r="K33" s="34">
        <f>'04 Prevádzkové príjmy'!K23</f>
        <v>0</v>
      </c>
      <c r="L33" s="34">
        <f>'04 Prevádzkové príjmy'!L23</f>
        <v>0</v>
      </c>
      <c r="M33" s="34">
        <f>'04 Prevádzkové príjmy'!M23</f>
        <v>0</v>
      </c>
      <c r="N33" s="34">
        <f>'04 Prevádzkové príjmy'!N23</f>
        <v>0</v>
      </c>
      <c r="O33" s="34">
        <f>'04 Prevádzkové príjmy'!O23</f>
        <v>0</v>
      </c>
      <c r="P33" s="34">
        <f>'04 Prevádzkové príjmy'!P23</f>
        <v>0</v>
      </c>
      <c r="Q33" s="34">
        <f>'04 Prevádzkové príjmy'!Q23</f>
        <v>0</v>
      </c>
      <c r="R33" s="34">
        <f>'04 Prevádzkové príjmy'!R23</f>
        <v>0</v>
      </c>
      <c r="S33" s="34">
        <f>'04 Prevádzkové príjmy'!S23</f>
        <v>0</v>
      </c>
      <c r="T33" s="34">
        <f>'04 Prevádzkové príjmy'!T23</f>
        <v>0</v>
      </c>
      <c r="U33" s="34">
        <f>'04 Prevádzkové príjmy'!U23</f>
        <v>0</v>
      </c>
      <c r="V33" s="34">
        <f>'04 Prevádzkové príjmy'!V23</f>
        <v>0</v>
      </c>
      <c r="W33" s="34">
        <f>'04 Prevádzkové príjmy'!W23</f>
        <v>0</v>
      </c>
      <c r="X33" s="34">
        <f>'04 Prevádzkové príjmy'!X23</f>
        <v>0</v>
      </c>
      <c r="Y33" s="34">
        <f>'04 Prevádzkové príjmy'!Y23</f>
        <v>0</v>
      </c>
      <c r="Z33" s="34">
        <f>'04 Prevádzkové príjmy'!Z23</f>
        <v>0</v>
      </c>
      <c r="AA33" s="34">
        <f>'04 Prevádzkové príjmy'!AA23</f>
        <v>0</v>
      </c>
      <c r="AB33" s="34">
        <f>'04 Prevádzkové príjmy'!AB23</f>
        <v>0</v>
      </c>
      <c r="AC33" s="34">
        <f>'04 Prevádzkové príjmy'!AC23</f>
        <v>0</v>
      </c>
      <c r="AD33" s="34">
        <f>'04 Prevádzkové príjmy'!AD23</f>
        <v>0</v>
      </c>
      <c r="AE33" s="34">
        <f>'04 Prevádzkové príjmy'!AE23</f>
        <v>0</v>
      </c>
      <c r="AF33" s="34">
        <f>'04 Prevádzkové príjmy'!AF23</f>
        <v>0</v>
      </c>
      <c r="AG33" s="34">
        <f>'04 Prevádzkové príjmy'!AG23</f>
        <v>0</v>
      </c>
    </row>
    <row r="34" spans="2:33" x14ac:dyDescent="0.2">
      <c r="B34" s="26" t="s">
        <v>78</v>
      </c>
      <c r="C34" s="58">
        <f>D34+NPV(Predpoklady!$C$5,'05 Finančná analýza'!E34:AG34)</f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59">
        <f>'02 Zostatková hodnota'!G23</f>
        <v>0</v>
      </c>
    </row>
    <row r="35" spans="2:33" x14ac:dyDescent="0.2">
      <c r="B35" s="25" t="s">
        <v>102</v>
      </c>
      <c r="C35" s="49">
        <f>D35+NPV(Predpoklady!C5,'05 Finančná analýza'!E35:AG35)</f>
        <v>-36853893.203175083</v>
      </c>
      <c r="D35" s="37">
        <f>SUM(D31:D34)</f>
        <v>-4882475</v>
      </c>
      <c r="E35" s="37">
        <f t="shared" ref="E35:AG35" si="85">SUM(E31:E34)</f>
        <v>-1882475</v>
      </c>
      <c r="F35" s="37">
        <f t="shared" si="85"/>
        <v>-1882475</v>
      </c>
      <c r="G35" s="37">
        <f t="shared" si="85"/>
        <v>-1882475</v>
      </c>
      <c r="H35" s="37">
        <f t="shared" si="85"/>
        <v>-1882475</v>
      </c>
      <c r="I35" s="37">
        <f t="shared" si="85"/>
        <v>-1882475</v>
      </c>
      <c r="J35" s="37">
        <f t="shared" si="85"/>
        <v>-1882475</v>
      </c>
      <c r="K35" s="37">
        <f t="shared" si="85"/>
        <v>-1882475</v>
      </c>
      <c r="L35" s="37">
        <f t="shared" si="85"/>
        <v>-1882475</v>
      </c>
      <c r="M35" s="37">
        <f t="shared" si="85"/>
        <v>-1882475</v>
      </c>
      <c r="N35" s="37">
        <f t="shared" si="85"/>
        <v>-1882475</v>
      </c>
      <c r="O35" s="37">
        <f t="shared" si="85"/>
        <v>-1882475</v>
      </c>
      <c r="P35" s="37">
        <f t="shared" si="85"/>
        <v>-1882475</v>
      </c>
      <c r="Q35" s="37">
        <f t="shared" si="85"/>
        <v>-1882475</v>
      </c>
      <c r="R35" s="37">
        <f t="shared" si="85"/>
        <v>-1882475</v>
      </c>
      <c r="S35" s="37">
        <f t="shared" si="85"/>
        <v>-1882475</v>
      </c>
      <c r="T35" s="37">
        <f t="shared" si="85"/>
        <v>-1882475</v>
      </c>
      <c r="U35" s="37">
        <f t="shared" si="85"/>
        <v>-1882475</v>
      </c>
      <c r="V35" s="37">
        <f t="shared" si="85"/>
        <v>-1882475</v>
      </c>
      <c r="W35" s="37">
        <f t="shared" si="85"/>
        <v>-1882475</v>
      </c>
      <c r="X35" s="37">
        <f t="shared" si="85"/>
        <v>-1882475</v>
      </c>
      <c r="Y35" s="37">
        <f t="shared" si="85"/>
        <v>-1882475</v>
      </c>
      <c r="Z35" s="37">
        <f t="shared" si="85"/>
        <v>-1882475</v>
      </c>
      <c r="AA35" s="37">
        <f t="shared" si="85"/>
        <v>-1882475</v>
      </c>
      <c r="AB35" s="37">
        <f t="shared" si="85"/>
        <v>-1882475</v>
      </c>
      <c r="AC35" s="37">
        <f t="shared" si="85"/>
        <v>-1882475</v>
      </c>
      <c r="AD35" s="37">
        <f t="shared" si="85"/>
        <v>-1882475</v>
      </c>
      <c r="AE35" s="37">
        <f t="shared" si="85"/>
        <v>-1882475</v>
      </c>
      <c r="AF35" s="37">
        <f t="shared" si="85"/>
        <v>-1882475</v>
      </c>
      <c r="AG35" s="37">
        <f t="shared" si="85"/>
        <v>-1882475</v>
      </c>
    </row>
    <row r="37" spans="2:33" x14ac:dyDescent="0.2">
      <c r="B37" s="26" t="s">
        <v>103</v>
      </c>
      <c r="C37" s="60">
        <f>SUM(C31:C34)</f>
        <v>-36853893.203175083</v>
      </c>
      <c r="D37" s="26" t="s">
        <v>104</v>
      </c>
    </row>
    <row r="41" spans="2:33" x14ac:dyDescent="0.2">
      <c r="C41" s="56"/>
    </row>
    <row r="44" spans="2:33" x14ac:dyDescent="0.2">
      <c r="C44" s="56"/>
    </row>
  </sheetData>
  <pageMargins left="0.24791666666666667" right="0.1953125" top="1" bottom="1" header="0.5" footer="0.5"/>
  <pageSetup scale="70" orientation="landscape" r:id="rId1"/>
  <headerFooter alignWithMargins="0">
    <oddHeader>&amp;LPríloha 7: Štandardné tabuľky - Cesty
&amp;"Arial,Tučné"&amp;12 06 Finančná analýza</oddHeader>
    <oddFooter>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2"/>
  <sheetViews>
    <sheetView showGridLines="0" workbookViewId="0">
      <selection activeCell="C20" sqref="C19:C20"/>
    </sheetView>
  </sheetViews>
  <sheetFormatPr defaultColWidth="9.140625" defaultRowHeight="12.75" x14ac:dyDescent="0.2"/>
  <cols>
    <col min="1" max="1" width="2.7109375" style="53" customWidth="1"/>
    <col min="2" max="2" width="23.85546875" style="53" bestFit="1" customWidth="1"/>
    <col min="3" max="3" width="12.28515625" style="53" bestFit="1" customWidth="1"/>
    <col min="4" max="33" width="10.7109375" style="53" bestFit="1" customWidth="1"/>
    <col min="34" max="16384" width="9.140625" style="53"/>
  </cols>
  <sheetData>
    <row r="1" spans="2:33" x14ac:dyDescent="0.2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2:33" x14ac:dyDescent="0.2">
      <c r="B2" s="25" t="s">
        <v>79</v>
      </c>
      <c r="C2" s="25"/>
      <c r="D2" s="26">
        <v>1</v>
      </c>
      <c r="E2" s="26">
        <v>2</v>
      </c>
      <c r="F2" s="26">
        <v>3</v>
      </c>
      <c r="G2" s="26">
        <v>4</v>
      </c>
      <c r="H2" s="26">
        <v>5</v>
      </c>
      <c r="I2" s="26">
        <v>6</v>
      </c>
      <c r="J2" s="26">
        <v>7</v>
      </c>
      <c r="K2" s="26">
        <v>8</v>
      </c>
      <c r="L2" s="26">
        <v>9</v>
      </c>
      <c r="M2" s="26">
        <v>10</v>
      </c>
      <c r="N2" s="26">
        <v>11</v>
      </c>
      <c r="O2" s="26">
        <v>12</v>
      </c>
      <c r="P2" s="26">
        <v>13</v>
      </c>
      <c r="Q2" s="26">
        <v>14</v>
      </c>
      <c r="R2" s="26">
        <v>15</v>
      </c>
      <c r="S2" s="26">
        <v>16</v>
      </c>
      <c r="T2" s="26">
        <v>17</v>
      </c>
      <c r="U2" s="26">
        <v>18</v>
      </c>
      <c r="V2" s="26">
        <v>19</v>
      </c>
      <c r="W2" s="26">
        <v>20</v>
      </c>
      <c r="X2" s="26">
        <v>21</v>
      </c>
      <c r="Y2" s="26">
        <v>22</v>
      </c>
      <c r="Z2" s="26">
        <v>23</v>
      </c>
      <c r="AA2" s="26">
        <v>24</v>
      </c>
      <c r="AB2" s="26">
        <v>25</v>
      </c>
      <c r="AC2" s="26">
        <v>26</v>
      </c>
      <c r="AD2" s="26">
        <v>27</v>
      </c>
      <c r="AE2" s="26">
        <v>28</v>
      </c>
      <c r="AF2" s="26">
        <v>29</v>
      </c>
      <c r="AG2" s="26">
        <v>30</v>
      </c>
    </row>
    <row r="3" spans="2:33" x14ac:dyDescent="0.2">
      <c r="B3" s="44" t="s">
        <v>86</v>
      </c>
      <c r="C3" s="44" t="s">
        <v>64</v>
      </c>
      <c r="D3" s="45">
        <v>2022</v>
      </c>
      <c r="E3" s="45">
        <f>$D$3+D2</f>
        <v>2023</v>
      </c>
      <c r="F3" s="45">
        <f>$D$3+E2</f>
        <v>2024</v>
      </c>
      <c r="G3" s="45">
        <f>$D$3+F2</f>
        <v>2025</v>
      </c>
      <c r="H3" s="45">
        <f t="shared" ref="H3:AG3" si="0">$D$3+G2</f>
        <v>2026</v>
      </c>
      <c r="I3" s="45">
        <f t="shared" si="0"/>
        <v>2027</v>
      </c>
      <c r="J3" s="45">
        <f t="shared" si="0"/>
        <v>2028</v>
      </c>
      <c r="K3" s="45">
        <f t="shared" si="0"/>
        <v>2029</v>
      </c>
      <c r="L3" s="45">
        <f t="shared" si="0"/>
        <v>2030</v>
      </c>
      <c r="M3" s="45">
        <f t="shared" si="0"/>
        <v>2031</v>
      </c>
      <c r="N3" s="45">
        <f t="shared" si="0"/>
        <v>2032</v>
      </c>
      <c r="O3" s="45">
        <f t="shared" si="0"/>
        <v>2033</v>
      </c>
      <c r="P3" s="45">
        <f t="shared" si="0"/>
        <v>2034</v>
      </c>
      <c r="Q3" s="45">
        <f t="shared" si="0"/>
        <v>2035</v>
      </c>
      <c r="R3" s="45">
        <f t="shared" si="0"/>
        <v>2036</v>
      </c>
      <c r="S3" s="45">
        <f t="shared" si="0"/>
        <v>2037</v>
      </c>
      <c r="T3" s="45">
        <f t="shared" si="0"/>
        <v>2038</v>
      </c>
      <c r="U3" s="45">
        <f t="shared" si="0"/>
        <v>2039</v>
      </c>
      <c r="V3" s="45">
        <f t="shared" si="0"/>
        <v>2040</v>
      </c>
      <c r="W3" s="45">
        <f t="shared" si="0"/>
        <v>2041</v>
      </c>
      <c r="X3" s="45">
        <f t="shared" si="0"/>
        <v>2042</v>
      </c>
      <c r="Y3" s="45">
        <f t="shared" si="0"/>
        <v>2043</v>
      </c>
      <c r="Z3" s="45">
        <f t="shared" si="0"/>
        <v>2044</v>
      </c>
      <c r="AA3" s="45">
        <f t="shared" si="0"/>
        <v>2045</v>
      </c>
      <c r="AB3" s="45">
        <f t="shared" si="0"/>
        <v>2046</v>
      </c>
      <c r="AC3" s="45">
        <f t="shared" si="0"/>
        <v>2047</v>
      </c>
      <c r="AD3" s="45">
        <f t="shared" si="0"/>
        <v>2048</v>
      </c>
      <c r="AE3" s="45">
        <f t="shared" si="0"/>
        <v>2049</v>
      </c>
      <c r="AF3" s="45">
        <f t="shared" si="0"/>
        <v>2050</v>
      </c>
      <c r="AG3" s="45">
        <f t="shared" si="0"/>
        <v>2051</v>
      </c>
    </row>
    <row r="4" spans="2:33" x14ac:dyDescent="0.2">
      <c r="B4" s="26" t="s">
        <v>105</v>
      </c>
      <c r="C4" s="34">
        <f>SUM(D4:AG4)</f>
        <v>-6498837.0719999997</v>
      </c>
      <c r="D4" s="47">
        <f>-Predpoklady!$C$27*Predpoklady!$C$9*Predpoklady!D13</f>
        <v>-56137.536000000007</v>
      </c>
      <c r="E4" s="47">
        <f>-Predpoklady!$C$27*Predpoklady!$C$9*Predpoklady!E13</f>
        <v>-64484.784000000007</v>
      </c>
      <c r="F4" s="47">
        <f>-Predpoklady!$C$27*Predpoklady!$C$9*Predpoklady!F13</f>
        <v>-72832.031999999992</v>
      </c>
      <c r="G4" s="47">
        <f>-Predpoklady!$C$27*Predpoklady!$C$9*Predpoklady!G13</f>
        <v>-81179.280000000013</v>
      </c>
      <c r="H4" s="47">
        <f>-Predpoklady!$C$27*Predpoklady!$C$9*Predpoklady!H13</f>
        <v>-89526.528000000006</v>
      </c>
      <c r="I4" s="47">
        <f>-Predpoklady!$C$27*Predpoklady!$C$9*Predpoklady!I13</f>
        <v>-97873.775999999998</v>
      </c>
      <c r="J4" s="47">
        <f>-Predpoklady!$C$27*Predpoklady!$C$9*Predpoklady!J13</f>
        <v>-106221.02399999999</v>
      </c>
      <c r="K4" s="47">
        <f>-Predpoklady!$C$27*Predpoklady!$C$9*Predpoklady!K13</f>
        <v>-114568.272</v>
      </c>
      <c r="L4" s="47">
        <f>-Predpoklady!$C$27*Predpoklady!$C$9*Predpoklady!L13</f>
        <v>-122915.52000000002</v>
      </c>
      <c r="M4" s="47">
        <f>-Predpoklady!$C$27*Predpoklady!$C$9*Predpoklady!M13</f>
        <v>-136674.72</v>
      </c>
      <c r="N4" s="47">
        <f>-Predpoklady!$C$27*Predpoklady!$C$9*Predpoklady!N13</f>
        <v>-150433.92000000001</v>
      </c>
      <c r="O4" s="47">
        <f>-Predpoklady!$C$27*Predpoklady!$C$9*Predpoklady!O13</f>
        <v>-164193.12000000002</v>
      </c>
      <c r="P4" s="47">
        <f>-Predpoklady!$C$27*Predpoklady!$C$9*Predpoklady!P13</f>
        <v>-177952.32</v>
      </c>
      <c r="Q4" s="47">
        <f>-Predpoklady!$C$27*Predpoklady!$C$9*Predpoklady!Q13</f>
        <v>-191711.52000000002</v>
      </c>
      <c r="R4" s="47">
        <f>-Predpoklady!$C$27*Predpoklady!$C$9*Predpoklady!R13</f>
        <v>-205012.08000000002</v>
      </c>
      <c r="S4" s="47">
        <f>-Predpoklady!$C$27*Predpoklady!$C$9*Predpoklady!S13</f>
        <v>-218312.64</v>
      </c>
      <c r="T4" s="47">
        <f>-Predpoklady!$C$27*Predpoklady!$C$9*Predpoklady!T13</f>
        <v>-231613.2</v>
      </c>
      <c r="U4" s="47">
        <f>-Predpoklady!$C$27*Predpoklady!$C$9*Predpoklady!U13</f>
        <v>-244913.76</v>
      </c>
      <c r="V4" s="47">
        <f>-Predpoklady!$C$27*Predpoklady!$C$9*Predpoklady!V13</f>
        <v>-258214.32000000004</v>
      </c>
      <c r="W4" s="47">
        <f>-Predpoklady!$C$27*Predpoklady!$C$9*Predpoklady!W13</f>
        <v>-271514.88</v>
      </c>
      <c r="X4" s="47">
        <f>-Predpoklady!$C$27*Predpoklady!$C$9*Predpoklady!X13</f>
        <v>-284815.44</v>
      </c>
      <c r="Y4" s="47">
        <f>-Predpoklady!$C$27*Predpoklady!$C$9*Predpoklady!Y13</f>
        <v>-298116</v>
      </c>
      <c r="Z4" s="47">
        <f>-Predpoklady!$C$27*Predpoklady!$C$9*Predpoklady!Z13</f>
        <v>-311416.56000000006</v>
      </c>
      <c r="AA4" s="47">
        <f>-Predpoklady!$C$27*Predpoklady!$C$9*Predpoklady!AA13</f>
        <v>-324717.12000000005</v>
      </c>
      <c r="AB4" s="47">
        <f>-Predpoklady!$C$27*Predpoklady!$C$9*Predpoklady!AB13</f>
        <v>-338476.32</v>
      </c>
      <c r="AC4" s="47">
        <f>-Predpoklady!$C$27*Predpoklady!$C$9*Predpoklady!AC13</f>
        <v>-352235.52000000002</v>
      </c>
      <c r="AD4" s="47">
        <f>-Predpoklady!$C$27*Predpoklady!$C$9*Predpoklady!AD13</f>
        <v>-365994.72000000003</v>
      </c>
      <c r="AE4" s="47">
        <f>-Predpoklady!$C$27*Predpoklady!$C$9*Predpoklady!AE13</f>
        <v>-379753.92000000004</v>
      </c>
      <c r="AF4" s="47">
        <f>-Predpoklady!$C$27*Predpoklady!$C$9*Predpoklady!AF13</f>
        <v>-393513.12000000005</v>
      </c>
      <c r="AG4" s="47">
        <f>-Predpoklady!$C$27*Predpoklady!$C$9*Predpoklady!AG13</f>
        <v>-393513.12000000005</v>
      </c>
    </row>
    <row r="5" spans="2:33" x14ac:dyDescent="0.2">
      <c r="B5" s="25" t="s">
        <v>106</v>
      </c>
      <c r="C5" s="37">
        <f t="shared" ref="C5" si="1">SUM(D5:AG5)</f>
        <v>-6498837.0719999997</v>
      </c>
      <c r="D5" s="37">
        <f t="shared" ref="D5:AG5" si="2">SUM(D4:D4)</f>
        <v>-56137.536000000007</v>
      </c>
      <c r="E5" s="37">
        <f t="shared" si="2"/>
        <v>-64484.784000000007</v>
      </c>
      <c r="F5" s="37">
        <f t="shared" si="2"/>
        <v>-72832.031999999992</v>
      </c>
      <c r="G5" s="37">
        <f t="shared" si="2"/>
        <v>-81179.280000000013</v>
      </c>
      <c r="H5" s="37">
        <f t="shared" si="2"/>
        <v>-89526.528000000006</v>
      </c>
      <c r="I5" s="37">
        <f t="shared" si="2"/>
        <v>-97873.775999999998</v>
      </c>
      <c r="J5" s="37">
        <f t="shared" si="2"/>
        <v>-106221.02399999999</v>
      </c>
      <c r="K5" s="37">
        <f t="shared" si="2"/>
        <v>-114568.272</v>
      </c>
      <c r="L5" s="37">
        <f t="shared" si="2"/>
        <v>-122915.52000000002</v>
      </c>
      <c r="M5" s="37">
        <f t="shared" si="2"/>
        <v>-136674.72</v>
      </c>
      <c r="N5" s="37">
        <f t="shared" si="2"/>
        <v>-150433.92000000001</v>
      </c>
      <c r="O5" s="37">
        <f t="shared" si="2"/>
        <v>-164193.12000000002</v>
      </c>
      <c r="P5" s="37">
        <f t="shared" si="2"/>
        <v>-177952.32</v>
      </c>
      <c r="Q5" s="37">
        <f t="shared" si="2"/>
        <v>-191711.52000000002</v>
      </c>
      <c r="R5" s="37">
        <f t="shared" si="2"/>
        <v>-205012.08000000002</v>
      </c>
      <c r="S5" s="37">
        <f t="shared" si="2"/>
        <v>-218312.64</v>
      </c>
      <c r="T5" s="37">
        <f t="shared" si="2"/>
        <v>-231613.2</v>
      </c>
      <c r="U5" s="37">
        <f t="shared" si="2"/>
        <v>-244913.76</v>
      </c>
      <c r="V5" s="37">
        <f t="shared" si="2"/>
        <v>-258214.32000000004</v>
      </c>
      <c r="W5" s="37">
        <f t="shared" si="2"/>
        <v>-271514.88</v>
      </c>
      <c r="X5" s="37">
        <f t="shared" si="2"/>
        <v>-284815.44</v>
      </c>
      <c r="Y5" s="37">
        <f t="shared" si="2"/>
        <v>-298116</v>
      </c>
      <c r="Z5" s="37">
        <f t="shared" si="2"/>
        <v>-311416.56000000006</v>
      </c>
      <c r="AA5" s="37">
        <f t="shared" si="2"/>
        <v>-324717.12000000005</v>
      </c>
      <c r="AB5" s="37">
        <f t="shared" si="2"/>
        <v>-338476.32</v>
      </c>
      <c r="AC5" s="37">
        <f t="shared" si="2"/>
        <v>-352235.52000000002</v>
      </c>
      <c r="AD5" s="37">
        <f t="shared" si="2"/>
        <v>-365994.72000000003</v>
      </c>
      <c r="AE5" s="37">
        <f t="shared" si="2"/>
        <v>-379753.92000000004</v>
      </c>
      <c r="AF5" s="37">
        <f t="shared" si="2"/>
        <v>-393513.12000000005</v>
      </c>
      <c r="AG5" s="37">
        <f t="shared" si="2"/>
        <v>-393513.12000000005</v>
      </c>
    </row>
    <row r="6" spans="2:33" x14ac:dyDescent="0.2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2:33" x14ac:dyDescent="0.2">
      <c r="B7" s="25" t="s">
        <v>83</v>
      </c>
      <c r="C7" s="25"/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</row>
    <row r="8" spans="2:33" x14ac:dyDescent="0.2">
      <c r="B8" s="44" t="s">
        <v>91</v>
      </c>
      <c r="C8" s="44" t="s">
        <v>64</v>
      </c>
      <c r="D8" s="45">
        <f>D3</f>
        <v>2022</v>
      </c>
      <c r="E8" s="45">
        <f>$D$3+D7</f>
        <v>2023</v>
      </c>
      <c r="F8" s="45">
        <f>$D$3+E7</f>
        <v>2024</v>
      </c>
      <c r="G8" s="45">
        <f>$D$3+F7</f>
        <v>2025</v>
      </c>
      <c r="H8" s="45">
        <f t="shared" ref="H8:AG8" si="3">$D$3+G7</f>
        <v>2026</v>
      </c>
      <c r="I8" s="45">
        <f t="shared" si="3"/>
        <v>2027</v>
      </c>
      <c r="J8" s="45">
        <f t="shared" si="3"/>
        <v>2028</v>
      </c>
      <c r="K8" s="45">
        <f t="shared" si="3"/>
        <v>2029</v>
      </c>
      <c r="L8" s="45">
        <f t="shared" si="3"/>
        <v>2030</v>
      </c>
      <c r="M8" s="45">
        <f t="shared" si="3"/>
        <v>2031</v>
      </c>
      <c r="N8" s="45">
        <f t="shared" si="3"/>
        <v>2032</v>
      </c>
      <c r="O8" s="45">
        <f t="shared" si="3"/>
        <v>2033</v>
      </c>
      <c r="P8" s="45">
        <f t="shared" si="3"/>
        <v>2034</v>
      </c>
      <c r="Q8" s="45">
        <f t="shared" si="3"/>
        <v>2035</v>
      </c>
      <c r="R8" s="45">
        <f t="shared" si="3"/>
        <v>2036</v>
      </c>
      <c r="S8" s="45">
        <f t="shared" si="3"/>
        <v>2037</v>
      </c>
      <c r="T8" s="45">
        <f t="shared" si="3"/>
        <v>2038</v>
      </c>
      <c r="U8" s="45">
        <f t="shared" si="3"/>
        <v>2039</v>
      </c>
      <c r="V8" s="45">
        <f t="shared" si="3"/>
        <v>2040</v>
      </c>
      <c r="W8" s="45">
        <f t="shared" si="3"/>
        <v>2041</v>
      </c>
      <c r="X8" s="45">
        <f t="shared" si="3"/>
        <v>2042</v>
      </c>
      <c r="Y8" s="45">
        <f t="shared" si="3"/>
        <v>2043</v>
      </c>
      <c r="Z8" s="45">
        <f t="shared" si="3"/>
        <v>2044</v>
      </c>
      <c r="AA8" s="45">
        <f t="shared" si="3"/>
        <v>2045</v>
      </c>
      <c r="AB8" s="45">
        <f t="shared" si="3"/>
        <v>2046</v>
      </c>
      <c r="AC8" s="45">
        <f t="shared" si="3"/>
        <v>2047</v>
      </c>
      <c r="AD8" s="45">
        <f t="shared" si="3"/>
        <v>2048</v>
      </c>
      <c r="AE8" s="45">
        <f t="shared" si="3"/>
        <v>2049</v>
      </c>
      <c r="AF8" s="45">
        <f t="shared" si="3"/>
        <v>2050</v>
      </c>
      <c r="AG8" s="45">
        <f t="shared" si="3"/>
        <v>2051</v>
      </c>
    </row>
    <row r="9" spans="2:33" x14ac:dyDescent="0.2">
      <c r="B9" s="26" t="s">
        <v>105</v>
      </c>
      <c r="C9" s="34">
        <f>SUM(D9:AG9)</f>
        <v>-3899302.2431999999</v>
      </c>
      <c r="D9" s="47">
        <f>-Predpoklady!$C$57*Predpoklady!$C$9*Predpoklady!D13</f>
        <v>-33682.521600000007</v>
      </c>
      <c r="E9" s="47">
        <f>-Predpoklady!$C$57*Predpoklady!$C$9*Predpoklady!E13</f>
        <v>-38690.8704</v>
      </c>
      <c r="F9" s="47">
        <f>-Predpoklady!$C$57*Predpoklady!$C$9*Predpoklady!F13</f>
        <v>-43699.2192</v>
      </c>
      <c r="G9" s="47">
        <f>-Predpoklady!$C$57*Predpoklady!$C$9*Predpoklady!G13</f>
        <v>-48707.568000000007</v>
      </c>
      <c r="H9" s="47">
        <f>-Predpoklady!$C$57*Predpoklady!$C$9*Predpoklady!H13</f>
        <v>-53715.916799999999</v>
      </c>
      <c r="I9" s="47">
        <f>-Predpoklady!$C$57*Predpoklady!$C$9*Predpoklady!I13</f>
        <v>-58724.265599999999</v>
      </c>
      <c r="J9" s="47">
        <f>-Predpoklady!$C$57*Predpoklady!$C$9*Predpoklady!J13</f>
        <v>-63732.614399999999</v>
      </c>
      <c r="K9" s="47">
        <f>-Predpoklady!$C$57*Predpoklady!$C$9*Predpoklady!K13</f>
        <v>-68740.963199999998</v>
      </c>
      <c r="L9" s="47">
        <f>-Predpoklady!$C$57*Predpoklady!$C$9*Predpoklady!L13</f>
        <v>-73749.312000000005</v>
      </c>
      <c r="M9" s="47">
        <f>-Predpoklady!$C$57*Predpoklady!$C$9*Predpoklady!M13</f>
        <v>-82004.832000000009</v>
      </c>
      <c r="N9" s="47">
        <f>-Predpoklady!$C$57*Predpoklady!$C$9*Predpoklady!N13</f>
        <v>-90260.352000000014</v>
      </c>
      <c r="O9" s="47">
        <f>-Predpoklady!$C$57*Predpoklady!$C$9*Predpoklady!O13</f>
        <v>-98515.872000000003</v>
      </c>
      <c r="P9" s="47">
        <f>-Predpoklady!$C$57*Predpoklady!$C$9*Predpoklady!P13</f>
        <v>-106771.39200000001</v>
      </c>
      <c r="Q9" s="47">
        <f>-Predpoklady!$C$57*Predpoklady!$C$9*Predpoklady!Q13</f>
        <v>-115026.91200000001</v>
      </c>
      <c r="R9" s="47">
        <f>-Predpoklady!$C$57*Predpoklady!$C$9*Predpoklady!R13</f>
        <v>-123007.24800000001</v>
      </c>
      <c r="S9" s="47">
        <f>-Predpoklady!$C$57*Predpoklady!$C$9*Predpoklady!S13</f>
        <v>-130987.58400000002</v>
      </c>
      <c r="T9" s="47">
        <f>-Predpoklady!$C$57*Predpoklady!$C$9*Predpoklady!T13</f>
        <v>-138967.92000000001</v>
      </c>
      <c r="U9" s="47">
        <f>-Predpoklady!$C$57*Predpoklady!$C$9*Predpoklady!U13</f>
        <v>-146948.25600000002</v>
      </c>
      <c r="V9" s="47">
        <f>-Predpoklady!$C$57*Predpoklady!$C$9*Predpoklady!V13</f>
        <v>-154928.592</v>
      </c>
      <c r="W9" s="47">
        <f>-Predpoklady!$C$57*Predpoklady!$C$9*Predpoklady!W13</f>
        <v>-162908.92800000001</v>
      </c>
      <c r="X9" s="47">
        <f>-Predpoklady!$C$57*Predpoklady!$C$9*Predpoklady!X13</f>
        <v>-170889.26400000002</v>
      </c>
      <c r="Y9" s="47">
        <f>-Predpoklady!$C$57*Predpoklady!$C$9*Predpoklady!Y13</f>
        <v>-178869.6</v>
      </c>
      <c r="Z9" s="47">
        <f>-Predpoklady!$C$57*Predpoklady!$C$9*Predpoklady!Z13</f>
        <v>-186849.93600000002</v>
      </c>
      <c r="AA9" s="47">
        <f>-Predpoklady!$C$57*Predpoklady!$C$9*Predpoklady!AA13</f>
        <v>-194830.27200000003</v>
      </c>
      <c r="AB9" s="47">
        <f>-Predpoklady!$C$57*Predpoklady!$C$9*Predpoklady!AB13</f>
        <v>-203085.79200000002</v>
      </c>
      <c r="AC9" s="47">
        <f>-Predpoklady!$C$57*Predpoklady!$C$9*Predpoklady!AC13</f>
        <v>-211341.31200000003</v>
      </c>
      <c r="AD9" s="47">
        <f>-Predpoklady!$C$57*Predpoklady!$C$9*Predpoklady!AD13</f>
        <v>-219596.83200000002</v>
      </c>
      <c r="AE9" s="47">
        <f>-Predpoklady!$C$57*Predpoklady!$C$9*Predpoklady!AE13</f>
        <v>-227852.35200000001</v>
      </c>
      <c r="AF9" s="47">
        <f>-Predpoklady!$C$57*Predpoklady!$C$9*Predpoklady!AF13</f>
        <v>-236107.87200000003</v>
      </c>
      <c r="AG9" s="47">
        <f>-Predpoklady!$C$57*Predpoklady!$C$9*Predpoklady!AG13</f>
        <v>-236107.87200000003</v>
      </c>
    </row>
    <row r="10" spans="2:33" x14ac:dyDescent="0.2">
      <c r="B10" s="25" t="s">
        <v>106</v>
      </c>
      <c r="C10" s="37">
        <f t="shared" ref="C10" si="4">SUM(D10:AG10)</f>
        <v>-3899302.2431999999</v>
      </c>
      <c r="D10" s="37">
        <f t="shared" ref="D10:AG10" si="5">SUM(D9:D9)</f>
        <v>-33682.521600000007</v>
      </c>
      <c r="E10" s="37">
        <f t="shared" si="5"/>
        <v>-38690.8704</v>
      </c>
      <c r="F10" s="37">
        <f t="shared" si="5"/>
        <v>-43699.2192</v>
      </c>
      <c r="G10" s="37">
        <f t="shared" si="5"/>
        <v>-48707.568000000007</v>
      </c>
      <c r="H10" s="37">
        <f t="shared" si="5"/>
        <v>-53715.916799999999</v>
      </c>
      <c r="I10" s="37">
        <f t="shared" si="5"/>
        <v>-58724.265599999999</v>
      </c>
      <c r="J10" s="37">
        <f t="shared" si="5"/>
        <v>-63732.614399999999</v>
      </c>
      <c r="K10" s="37">
        <f t="shared" si="5"/>
        <v>-68740.963199999998</v>
      </c>
      <c r="L10" s="37">
        <f t="shared" si="5"/>
        <v>-73749.312000000005</v>
      </c>
      <c r="M10" s="37">
        <f t="shared" si="5"/>
        <v>-82004.832000000009</v>
      </c>
      <c r="N10" s="37">
        <f t="shared" si="5"/>
        <v>-90260.352000000014</v>
      </c>
      <c r="O10" s="37">
        <f t="shared" si="5"/>
        <v>-98515.872000000003</v>
      </c>
      <c r="P10" s="37">
        <f t="shared" si="5"/>
        <v>-106771.39200000001</v>
      </c>
      <c r="Q10" s="37">
        <f t="shared" si="5"/>
        <v>-115026.91200000001</v>
      </c>
      <c r="R10" s="37">
        <f t="shared" si="5"/>
        <v>-123007.24800000001</v>
      </c>
      <c r="S10" s="37">
        <f t="shared" si="5"/>
        <v>-130987.58400000002</v>
      </c>
      <c r="T10" s="37">
        <f t="shared" si="5"/>
        <v>-138967.92000000001</v>
      </c>
      <c r="U10" s="37">
        <f t="shared" si="5"/>
        <v>-146948.25600000002</v>
      </c>
      <c r="V10" s="37">
        <f t="shared" si="5"/>
        <v>-154928.592</v>
      </c>
      <c r="W10" s="37">
        <f t="shared" si="5"/>
        <v>-162908.92800000001</v>
      </c>
      <c r="X10" s="37">
        <f t="shared" si="5"/>
        <v>-170889.26400000002</v>
      </c>
      <c r="Y10" s="37">
        <f t="shared" si="5"/>
        <v>-178869.6</v>
      </c>
      <c r="Z10" s="37">
        <f t="shared" si="5"/>
        <v>-186849.93600000002</v>
      </c>
      <c r="AA10" s="37">
        <f t="shared" si="5"/>
        <v>-194830.27200000003</v>
      </c>
      <c r="AB10" s="37">
        <f t="shared" si="5"/>
        <v>-203085.79200000002</v>
      </c>
      <c r="AC10" s="37">
        <f t="shared" si="5"/>
        <v>-211341.31200000003</v>
      </c>
      <c r="AD10" s="37">
        <f t="shared" si="5"/>
        <v>-219596.83200000002</v>
      </c>
      <c r="AE10" s="37">
        <f t="shared" si="5"/>
        <v>-227852.35200000001</v>
      </c>
      <c r="AF10" s="37">
        <f t="shared" si="5"/>
        <v>-236107.87200000003</v>
      </c>
      <c r="AG10" s="37">
        <f t="shared" si="5"/>
        <v>-236107.87200000003</v>
      </c>
    </row>
    <row r="11" spans="2:33" x14ac:dyDescent="0.2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</row>
    <row r="12" spans="2:33" x14ac:dyDescent="0.2">
      <c r="B12" s="25" t="s">
        <v>84</v>
      </c>
      <c r="C12" s="25"/>
      <c r="D12" s="50">
        <v>1</v>
      </c>
      <c r="E12" s="50">
        <v>2</v>
      </c>
      <c r="F12" s="50">
        <v>3</v>
      </c>
      <c r="G12" s="50">
        <v>4</v>
      </c>
      <c r="H12" s="50">
        <v>5</v>
      </c>
      <c r="I12" s="50">
        <v>6</v>
      </c>
      <c r="J12" s="50">
        <v>7</v>
      </c>
      <c r="K12" s="50">
        <v>8</v>
      </c>
      <c r="L12" s="50">
        <v>9</v>
      </c>
      <c r="M12" s="50">
        <v>10</v>
      </c>
      <c r="N12" s="50">
        <v>11</v>
      </c>
      <c r="O12" s="50">
        <v>12</v>
      </c>
      <c r="P12" s="50">
        <v>13</v>
      </c>
      <c r="Q12" s="50">
        <v>14</v>
      </c>
      <c r="R12" s="50">
        <v>15</v>
      </c>
      <c r="S12" s="50">
        <v>16</v>
      </c>
      <c r="T12" s="50">
        <v>17</v>
      </c>
      <c r="U12" s="50">
        <v>18</v>
      </c>
      <c r="V12" s="50">
        <v>19</v>
      </c>
      <c r="W12" s="50">
        <v>20</v>
      </c>
      <c r="X12" s="50">
        <v>21</v>
      </c>
      <c r="Y12" s="50">
        <v>22</v>
      </c>
      <c r="Z12" s="50">
        <v>23</v>
      </c>
      <c r="AA12" s="50">
        <v>24</v>
      </c>
      <c r="AB12" s="50">
        <v>25</v>
      </c>
      <c r="AC12" s="50">
        <v>26</v>
      </c>
      <c r="AD12" s="50">
        <v>27</v>
      </c>
      <c r="AE12" s="50">
        <v>28</v>
      </c>
      <c r="AF12" s="50">
        <v>29</v>
      </c>
      <c r="AG12" s="50">
        <v>30</v>
      </c>
    </row>
    <row r="13" spans="2:33" x14ac:dyDescent="0.2">
      <c r="B13" s="44" t="s">
        <v>92</v>
      </c>
      <c r="C13" s="44" t="s">
        <v>64</v>
      </c>
      <c r="D13" s="45">
        <f>D8</f>
        <v>2022</v>
      </c>
      <c r="E13" s="45">
        <f>$D$3+D12</f>
        <v>2023</v>
      </c>
      <c r="F13" s="45">
        <f>$D$3+E12</f>
        <v>2024</v>
      </c>
      <c r="G13" s="45">
        <f>$D$3+F12</f>
        <v>2025</v>
      </c>
      <c r="H13" s="45">
        <f t="shared" ref="H13:AG13" si="6">$D$3+G12</f>
        <v>2026</v>
      </c>
      <c r="I13" s="45">
        <f t="shared" si="6"/>
        <v>2027</v>
      </c>
      <c r="J13" s="45">
        <f t="shared" si="6"/>
        <v>2028</v>
      </c>
      <c r="K13" s="45">
        <f t="shared" si="6"/>
        <v>2029</v>
      </c>
      <c r="L13" s="45">
        <f t="shared" si="6"/>
        <v>2030</v>
      </c>
      <c r="M13" s="45">
        <f t="shared" si="6"/>
        <v>2031</v>
      </c>
      <c r="N13" s="45">
        <f t="shared" si="6"/>
        <v>2032</v>
      </c>
      <c r="O13" s="45">
        <f t="shared" si="6"/>
        <v>2033</v>
      </c>
      <c r="P13" s="45">
        <f t="shared" si="6"/>
        <v>2034</v>
      </c>
      <c r="Q13" s="45">
        <f t="shared" si="6"/>
        <v>2035</v>
      </c>
      <c r="R13" s="45">
        <f t="shared" si="6"/>
        <v>2036</v>
      </c>
      <c r="S13" s="45">
        <f t="shared" si="6"/>
        <v>2037</v>
      </c>
      <c r="T13" s="45">
        <f t="shared" si="6"/>
        <v>2038</v>
      </c>
      <c r="U13" s="45">
        <f t="shared" si="6"/>
        <v>2039</v>
      </c>
      <c r="V13" s="45">
        <f t="shared" si="6"/>
        <v>2040</v>
      </c>
      <c r="W13" s="45">
        <f t="shared" si="6"/>
        <v>2041</v>
      </c>
      <c r="X13" s="45">
        <f t="shared" si="6"/>
        <v>2042</v>
      </c>
      <c r="Y13" s="45">
        <f t="shared" si="6"/>
        <v>2043</v>
      </c>
      <c r="Z13" s="45">
        <f t="shared" si="6"/>
        <v>2044</v>
      </c>
      <c r="AA13" s="45">
        <f t="shared" si="6"/>
        <v>2045</v>
      </c>
      <c r="AB13" s="45">
        <f t="shared" si="6"/>
        <v>2046</v>
      </c>
      <c r="AC13" s="45">
        <f t="shared" si="6"/>
        <v>2047</v>
      </c>
      <c r="AD13" s="45">
        <f t="shared" si="6"/>
        <v>2048</v>
      </c>
      <c r="AE13" s="45">
        <f t="shared" si="6"/>
        <v>2049</v>
      </c>
      <c r="AF13" s="45">
        <f t="shared" si="6"/>
        <v>2050</v>
      </c>
      <c r="AG13" s="45">
        <f t="shared" si="6"/>
        <v>2051</v>
      </c>
    </row>
    <row r="14" spans="2:33" x14ac:dyDescent="0.2">
      <c r="B14" s="26" t="s">
        <v>105</v>
      </c>
      <c r="C14" s="34">
        <f>SUM(D14:AG14)</f>
        <v>-5178760.7917500008</v>
      </c>
      <c r="D14" s="47">
        <f>-Predpoklady!$C$78*Predpoklady!$C$9*Predpoklady!D13</f>
        <v>-44734.599000000009</v>
      </c>
      <c r="E14" s="47">
        <f>-Predpoklady!$C$78*Predpoklady!$C$9*Predpoklady!E13</f>
        <v>-51386.312250000003</v>
      </c>
      <c r="F14" s="47">
        <f>-Predpoklady!$C$78*Predpoklady!$C$9*Predpoklady!F13</f>
        <v>-58038.025500000003</v>
      </c>
      <c r="G14" s="47">
        <f>-Predpoklady!$C$78*Predpoklady!$C$9*Predpoklady!G13</f>
        <v>-64689.738750000011</v>
      </c>
      <c r="H14" s="47">
        <f>-Predpoklady!$C$78*Predpoklady!$C$9*Predpoklady!H13</f>
        <v>-71341.452000000005</v>
      </c>
      <c r="I14" s="47">
        <f>-Predpoklady!$C$78*Predpoklady!$C$9*Predpoklady!I13</f>
        <v>-77993.165250000005</v>
      </c>
      <c r="J14" s="47">
        <f>-Predpoklady!$C$78*Predpoklady!$C$9*Predpoklady!J13</f>
        <v>-84644.878499999992</v>
      </c>
      <c r="K14" s="47">
        <f>-Predpoklady!$C$78*Predpoklady!$C$9*Predpoklady!K13</f>
        <v>-91296.591749999992</v>
      </c>
      <c r="L14" s="47">
        <f>-Predpoklady!$C$78*Predpoklady!$C$9*Predpoklady!L13</f>
        <v>-97948.305000000008</v>
      </c>
      <c r="M14" s="47">
        <f>-Predpoklady!$C$78*Predpoklady!$C$9*Predpoklady!M13</f>
        <v>-108912.66750000001</v>
      </c>
      <c r="N14" s="47">
        <f>-Predpoklady!$C$78*Predpoklady!$C$9*Predpoklady!N13</f>
        <v>-119877.03000000001</v>
      </c>
      <c r="O14" s="47">
        <f>-Predpoklady!$C$78*Predpoklady!$C$9*Predpoklady!O13</f>
        <v>-130841.39250000002</v>
      </c>
      <c r="P14" s="47">
        <f>-Predpoklady!$C$78*Predpoklady!$C$9*Predpoklady!P13</f>
        <v>-141805.755</v>
      </c>
      <c r="Q14" s="47">
        <f>-Predpoklady!$C$78*Predpoklady!$C$9*Predpoklady!Q13</f>
        <v>-152770.11750000002</v>
      </c>
      <c r="R14" s="47">
        <f>-Predpoklady!$C$78*Predpoklady!$C$9*Predpoklady!R13</f>
        <v>-163369.00125000003</v>
      </c>
      <c r="S14" s="47">
        <f>-Predpoklady!$C$78*Predpoklady!$C$9*Predpoklady!S13</f>
        <v>-173967.88500000001</v>
      </c>
      <c r="T14" s="47">
        <f>-Predpoklady!$C$78*Predpoklady!$C$9*Predpoklady!T13</f>
        <v>-184566.76875000002</v>
      </c>
      <c r="U14" s="47">
        <f>-Predpoklady!$C$78*Predpoklady!$C$9*Predpoklady!U13</f>
        <v>-195165.65250000003</v>
      </c>
      <c r="V14" s="47">
        <f>-Predpoklady!$C$78*Predpoklady!$C$9*Predpoklady!V13</f>
        <v>-205764.53625000003</v>
      </c>
      <c r="W14" s="47">
        <f>-Predpoklady!$C$78*Predpoklady!$C$9*Predpoklady!W13</f>
        <v>-216363.42000000004</v>
      </c>
      <c r="X14" s="47">
        <f>-Predpoklady!$C$78*Predpoklady!$C$9*Predpoklady!X13</f>
        <v>-226962.30375000002</v>
      </c>
      <c r="Y14" s="47">
        <f>-Predpoklady!$C$78*Predpoklady!$C$9*Predpoklady!Y13</f>
        <v>-237561.18750000003</v>
      </c>
      <c r="Z14" s="47">
        <f>-Predpoklady!$C$78*Predpoklady!$C$9*Predpoklady!Z13</f>
        <v>-248160.07125000004</v>
      </c>
      <c r="AA14" s="47">
        <f>-Predpoklady!$C$78*Predpoklady!$C$9*Predpoklady!AA13</f>
        <v>-258758.95500000005</v>
      </c>
      <c r="AB14" s="47">
        <f>-Predpoklady!$C$78*Predpoklady!$C$9*Predpoklady!AB13</f>
        <v>-269723.31750000006</v>
      </c>
      <c r="AC14" s="47">
        <f>-Predpoklady!$C$78*Predpoklady!$C$9*Predpoklady!AC13</f>
        <v>-280687.68000000005</v>
      </c>
      <c r="AD14" s="47">
        <f>-Predpoklady!$C$78*Predpoklady!$C$9*Predpoklady!AD13</f>
        <v>-291652.04250000004</v>
      </c>
      <c r="AE14" s="47">
        <f>-Predpoklady!$C$78*Predpoklady!$C$9*Predpoklady!AE13</f>
        <v>-302616.40500000003</v>
      </c>
      <c r="AF14" s="47">
        <f>-Predpoklady!$C$78*Predpoklady!$C$9*Predpoklady!AF13</f>
        <v>-313580.76750000002</v>
      </c>
      <c r="AG14" s="47">
        <f>-Predpoklady!$C$78*Predpoklady!$C$9*Predpoklady!AG13</f>
        <v>-313580.76750000002</v>
      </c>
    </row>
    <row r="15" spans="2:33" x14ac:dyDescent="0.2">
      <c r="B15" s="25" t="s">
        <v>106</v>
      </c>
      <c r="C15" s="37">
        <f t="shared" ref="C15" si="7">SUM(D15:AG15)</f>
        <v>-5178760.7917500008</v>
      </c>
      <c r="D15" s="37">
        <f t="shared" ref="D15:AG15" si="8">SUM(D14:D14)</f>
        <v>-44734.599000000009</v>
      </c>
      <c r="E15" s="37">
        <f t="shared" si="8"/>
        <v>-51386.312250000003</v>
      </c>
      <c r="F15" s="37">
        <f t="shared" si="8"/>
        <v>-58038.025500000003</v>
      </c>
      <c r="G15" s="37">
        <f t="shared" si="8"/>
        <v>-64689.738750000011</v>
      </c>
      <c r="H15" s="37">
        <f t="shared" si="8"/>
        <v>-71341.452000000005</v>
      </c>
      <c r="I15" s="37">
        <f t="shared" si="8"/>
        <v>-77993.165250000005</v>
      </c>
      <c r="J15" s="37">
        <f t="shared" si="8"/>
        <v>-84644.878499999992</v>
      </c>
      <c r="K15" s="37">
        <f t="shared" si="8"/>
        <v>-91296.591749999992</v>
      </c>
      <c r="L15" s="37">
        <f t="shared" si="8"/>
        <v>-97948.305000000008</v>
      </c>
      <c r="M15" s="37">
        <f t="shared" si="8"/>
        <v>-108912.66750000001</v>
      </c>
      <c r="N15" s="37">
        <f t="shared" si="8"/>
        <v>-119877.03000000001</v>
      </c>
      <c r="O15" s="37">
        <f t="shared" si="8"/>
        <v>-130841.39250000002</v>
      </c>
      <c r="P15" s="37">
        <f t="shared" si="8"/>
        <v>-141805.755</v>
      </c>
      <c r="Q15" s="37">
        <f t="shared" si="8"/>
        <v>-152770.11750000002</v>
      </c>
      <c r="R15" s="37">
        <f t="shared" si="8"/>
        <v>-163369.00125000003</v>
      </c>
      <c r="S15" s="37">
        <f t="shared" si="8"/>
        <v>-173967.88500000001</v>
      </c>
      <c r="T15" s="37">
        <f t="shared" si="8"/>
        <v>-184566.76875000002</v>
      </c>
      <c r="U15" s="37">
        <f t="shared" si="8"/>
        <v>-195165.65250000003</v>
      </c>
      <c r="V15" s="37">
        <f t="shared" si="8"/>
        <v>-205764.53625000003</v>
      </c>
      <c r="W15" s="37">
        <f t="shared" si="8"/>
        <v>-216363.42000000004</v>
      </c>
      <c r="X15" s="37">
        <f t="shared" si="8"/>
        <v>-226962.30375000002</v>
      </c>
      <c r="Y15" s="37">
        <f t="shared" si="8"/>
        <v>-237561.18750000003</v>
      </c>
      <c r="Z15" s="37">
        <f t="shared" si="8"/>
        <v>-248160.07125000004</v>
      </c>
      <c r="AA15" s="37">
        <f t="shared" si="8"/>
        <v>-258758.95500000005</v>
      </c>
      <c r="AB15" s="37">
        <f t="shared" si="8"/>
        <v>-269723.31750000006</v>
      </c>
      <c r="AC15" s="37">
        <f t="shared" si="8"/>
        <v>-280687.68000000005</v>
      </c>
      <c r="AD15" s="37">
        <f t="shared" si="8"/>
        <v>-291652.04250000004</v>
      </c>
      <c r="AE15" s="37">
        <f t="shared" si="8"/>
        <v>-302616.40500000003</v>
      </c>
      <c r="AF15" s="37">
        <f t="shared" si="8"/>
        <v>-313580.76750000002</v>
      </c>
      <c r="AG15" s="37">
        <f t="shared" si="8"/>
        <v>-313580.76750000002</v>
      </c>
    </row>
    <row r="20" spans="9:9" x14ac:dyDescent="0.2">
      <c r="I20" s="54"/>
    </row>
    <row r="22" spans="9:9" x14ac:dyDescent="0.2">
      <c r="I22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G44"/>
  <sheetViews>
    <sheetView showGridLines="0" topLeftCell="A11" workbookViewId="0">
      <selection activeCell="C23" sqref="C23"/>
    </sheetView>
  </sheetViews>
  <sheetFormatPr defaultColWidth="8.7109375" defaultRowHeight="12.75" x14ac:dyDescent="0.2"/>
  <cols>
    <col min="1" max="1" width="2.7109375" style="26" customWidth="1"/>
    <col min="2" max="2" width="33.7109375" style="26" bestFit="1" customWidth="1"/>
    <col min="3" max="3" width="11.5703125" style="26" bestFit="1" customWidth="1"/>
    <col min="4" max="7" width="8.7109375" style="26" bestFit="1" customWidth="1"/>
    <col min="8" max="9" width="9.7109375" style="26" bestFit="1" customWidth="1"/>
    <col min="10" max="32" width="8.7109375" style="26" bestFit="1" customWidth="1"/>
    <col min="33" max="33" width="9" style="26" bestFit="1" customWidth="1"/>
    <col min="34" max="16384" width="8.7109375" style="26"/>
  </cols>
  <sheetData>
    <row r="1" spans="1:33" x14ac:dyDescent="0.2">
      <c r="C1" s="25" t="s">
        <v>107</v>
      </c>
    </row>
    <row r="2" spans="1:33" x14ac:dyDescent="0.2">
      <c r="A2" s="55"/>
      <c r="B2" s="26" t="s">
        <v>79</v>
      </c>
      <c r="C2" s="56">
        <f>C15</f>
        <v>-34472155.373516947</v>
      </c>
    </row>
    <row r="3" spans="1:33" x14ac:dyDescent="0.2">
      <c r="B3" s="26" t="s">
        <v>83</v>
      </c>
      <c r="C3" s="56">
        <f>C26</f>
        <v>-29490668.61854656</v>
      </c>
    </row>
    <row r="4" spans="1:33" x14ac:dyDescent="0.2">
      <c r="B4" s="26" t="s">
        <v>84</v>
      </c>
      <c r="C4" s="56">
        <f>C37</f>
        <v>-32275954.947535541</v>
      </c>
    </row>
    <row r="6" spans="1:33" x14ac:dyDescent="0.2">
      <c r="B6" s="25" t="s">
        <v>79</v>
      </c>
      <c r="C6" s="25"/>
      <c r="D6" s="26" t="s">
        <v>85</v>
      </c>
    </row>
    <row r="7" spans="1:33" x14ac:dyDescent="0.2">
      <c r="B7" s="25"/>
      <c r="C7" s="35" t="s">
        <v>64</v>
      </c>
      <c r="D7" s="50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</row>
    <row r="8" spans="1:33" x14ac:dyDescent="0.2">
      <c r="B8" s="44" t="s">
        <v>97</v>
      </c>
      <c r="C8" s="57" t="s">
        <v>98</v>
      </c>
      <c r="D8" s="45">
        <v>2022</v>
      </c>
      <c r="E8" s="45">
        <f>$D$19+D7</f>
        <v>2023</v>
      </c>
      <c r="F8" s="45">
        <f>$D$19+E7</f>
        <v>2024</v>
      </c>
      <c r="G8" s="45">
        <f t="shared" ref="G8:AG8" si="0">$D$19+F7</f>
        <v>2025</v>
      </c>
      <c r="H8" s="45">
        <f t="shared" si="0"/>
        <v>2026</v>
      </c>
      <c r="I8" s="45">
        <f t="shared" si="0"/>
        <v>2027</v>
      </c>
      <c r="J8" s="45">
        <f t="shared" si="0"/>
        <v>2028</v>
      </c>
      <c r="K8" s="45">
        <f t="shared" si="0"/>
        <v>2029</v>
      </c>
      <c r="L8" s="45">
        <f t="shared" si="0"/>
        <v>2030</v>
      </c>
      <c r="M8" s="45">
        <f t="shared" si="0"/>
        <v>2031</v>
      </c>
      <c r="N8" s="45">
        <f t="shared" si="0"/>
        <v>2032</v>
      </c>
      <c r="O8" s="45">
        <f t="shared" si="0"/>
        <v>2033</v>
      </c>
      <c r="P8" s="45">
        <f t="shared" si="0"/>
        <v>2034</v>
      </c>
      <c r="Q8" s="45">
        <f t="shared" si="0"/>
        <v>2035</v>
      </c>
      <c r="R8" s="45">
        <f t="shared" si="0"/>
        <v>2036</v>
      </c>
      <c r="S8" s="45">
        <f t="shared" si="0"/>
        <v>2037</v>
      </c>
      <c r="T8" s="45">
        <f t="shared" si="0"/>
        <v>2038</v>
      </c>
      <c r="U8" s="45">
        <f t="shared" si="0"/>
        <v>2039</v>
      </c>
      <c r="V8" s="45">
        <f t="shared" si="0"/>
        <v>2040</v>
      </c>
      <c r="W8" s="45">
        <f t="shared" si="0"/>
        <v>2041</v>
      </c>
      <c r="X8" s="45">
        <f t="shared" si="0"/>
        <v>2042</v>
      </c>
      <c r="Y8" s="45">
        <f t="shared" si="0"/>
        <v>2043</v>
      </c>
      <c r="Z8" s="45">
        <f t="shared" si="0"/>
        <v>2044</v>
      </c>
      <c r="AA8" s="45">
        <f t="shared" si="0"/>
        <v>2045</v>
      </c>
      <c r="AB8" s="45">
        <f t="shared" si="0"/>
        <v>2046</v>
      </c>
      <c r="AC8" s="45">
        <f t="shared" si="0"/>
        <v>2047</v>
      </c>
      <c r="AD8" s="45">
        <f t="shared" si="0"/>
        <v>2048</v>
      </c>
      <c r="AE8" s="45">
        <f t="shared" si="0"/>
        <v>2049</v>
      </c>
      <c r="AF8" s="45">
        <f t="shared" si="0"/>
        <v>2050</v>
      </c>
      <c r="AG8" s="45">
        <f t="shared" si="0"/>
        <v>2051</v>
      </c>
    </row>
    <row r="9" spans="1:33" x14ac:dyDescent="0.2">
      <c r="B9" s="26" t="s">
        <v>99</v>
      </c>
      <c r="C9" s="58">
        <f>D9+NPV(Predpoklady!$C$6,E9:AG9)</f>
        <v>0</v>
      </c>
      <c r="D9" s="34">
        <f>-'01 Investičné výdavky'!E7*Predpoklady!$C$7</f>
        <v>0</v>
      </c>
      <c r="E9" s="34">
        <f>-'01 Investičné výdavky'!F7*Predpoklady!$C$7</f>
        <v>0</v>
      </c>
      <c r="F9" s="34">
        <f>-'01 Investičné výdavky'!G7*Predpoklady!$C$7</f>
        <v>0</v>
      </c>
      <c r="G9" s="34">
        <f>-'01 Investičné výdavky'!H7*Predpoklady!$C$7</f>
        <v>0</v>
      </c>
      <c r="H9" s="34">
        <f>-'01 Investičné výdavky'!I7*Predpoklady!$C$7</f>
        <v>0</v>
      </c>
      <c r="I9" s="34">
        <f>-'01 Investičné výdavky'!J7*Predpoklady!$C$7</f>
        <v>0</v>
      </c>
      <c r="J9" s="34">
        <f>-'01 Investičné výdavky'!K7*Predpoklady!$C$7</f>
        <v>0</v>
      </c>
      <c r="K9" s="34">
        <f>-'01 Investičné výdavky'!L7*Predpoklady!$C$7</f>
        <v>0</v>
      </c>
      <c r="L9" s="34">
        <f>-'01 Investičné výdavky'!M7*Predpoklady!$C$7</f>
        <v>0</v>
      </c>
      <c r="M9" s="34">
        <f>-'01 Investičné výdavky'!N7*Predpoklady!$C$7</f>
        <v>0</v>
      </c>
      <c r="N9" s="34">
        <f>-'01 Investičné výdavky'!O7*Predpoklady!$C$7</f>
        <v>0</v>
      </c>
      <c r="O9" s="34">
        <f>-'01 Investičné výdavky'!P7*Predpoklady!$C$7</f>
        <v>0</v>
      </c>
      <c r="P9" s="34">
        <f>-'01 Investičné výdavky'!Q7*Predpoklady!$C$7</f>
        <v>0</v>
      </c>
      <c r="Q9" s="34">
        <f>-'01 Investičné výdavky'!R7*Predpoklady!$C$7</f>
        <v>0</v>
      </c>
      <c r="R9" s="34">
        <f>-'01 Investičné výdavky'!S7*Predpoklady!$C$7</f>
        <v>0</v>
      </c>
      <c r="S9" s="34">
        <f>-'01 Investičné výdavky'!T7*Predpoklady!$C$7</f>
        <v>0</v>
      </c>
      <c r="T9" s="34">
        <f>-'01 Investičné výdavky'!U7*Predpoklady!$C$7</f>
        <v>0</v>
      </c>
      <c r="U9" s="34">
        <f>-'01 Investičné výdavky'!V7*Predpoklady!$C$7</f>
        <v>0</v>
      </c>
      <c r="V9" s="34">
        <f>-'01 Investičné výdavky'!W7*Predpoklady!$C$7</f>
        <v>0</v>
      </c>
      <c r="W9" s="34">
        <f>-'01 Investičné výdavky'!X7*Predpoklady!$C$7</f>
        <v>0</v>
      </c>
      <c r="X9" s="34">
        <f>-'01 Investičné výdavky'!Y7*Predpoklady!$C$7</f>
        <v>0</v>
      </c>
      <c r="Y9" s="34">
        <f>-'01 Investičné výdavky'!Z7*Predpoklady!$C$7</f>
        <v>0</v>
      </c>
      <c r="Z9" s="34">
        <f>-'01 Investičné výdavky'!AA7*Predpoklady!$C$7</f>
        <v>0</v>
      </c>
      <c r="AA9" s="34">
        <f>-'01 Investičné výdavky'!AB7*Predpoklady!$C$7</f>
        <v>0</v>
      </c>
      <c r="AB9" s="34">
        <f>-'01 Investičné výdavky'!AC7*Predpoklady!$C$7</f>
        <v>0</v>
      </c>
      <c r="AC9" s="34">
        <f>-'01 Investičné výdavky'!AD7*Predpoklady!$C$7</f>
        <v>0</v>
      </c>
      <c r="AD9" s="34">
        <f>-'01 Investičné výdavky'!AE7*Predpoklady!$C$7</f>
        <v>0</v>
      </c>
      <c r="AE9" s="34">
        <f>-'01 Investičné výdavky'!AF7*Predpoklady!$C$7</f>
        <v>0</v>
      </c>
      <c r="AF9" s="34">
        <f>-'01 Investičné výdavky'!AG7*Predpoklady!$C$7</f>
        <v>0</v>
      </c>
      <c r="AG9" s="34">
        <f>-'01 Investičné výdavky'!AH7*Predpoklady!$C$7</f>
        <v>0</v>
      </c>
    </row>
    <row r="10" spans="1:33" x14ac:dyDescent="0.2">
      <c r="B10" s="26" t="s">
        <v>100</v>
      </c>
      <c r="C10" s="58">
        <f>D10+NPV(Predpoklady!$C$6,E10:AG10)</f>
        <v>-34472155.373516947</v>
      </c>
      <c r="D10" s="34">
        <f>'03 Prevádzkové výdavky'!D8*Predpoklady!$C$7+'Vstupy emisie'!D4</f>
        <v>-2018497.5360000001</v>
      </c>
      <c r="E10" s="34">
        <f>'03 Prevádzkové výdavky'!E8*Predpoklady!$C$7+'Vstupy emisie'!E4</f>
        <v>-2026844.784</v>
      </c>
      <c r="F10" s="34">
        <f>'03 Prevádzkové výdavky'!F8*Predpoklady!$C$7+'Vstupy emisie'!F4</f>
        <v>-2035192.0319999999</v>
      </c>
      <c r="G10" s="34">
        <f>'03 Prevádzkové výdavky'!G8*Predpoklady!$C$7+'Vstupy emisie'!G4</f>
        <v>-2043539.28</v>
      </c>
      <c r="H10" s="34">
        <f>'03 Prevádzkové výdavky'!H8*Predpoklady!$C$7+'Vstupy emisie'!H4</f>
        <v>-2051886.5279999999</v>
      </c>
      <c r="I10" s="34">
        <f>'03 Prevádzkové výdavky'!I8*Predpoklady!$C$7+'Vstupy emisie'!I4</f>
        <v>-2060233.7760000001</v>
      </c>
      <c r="J10" s="34">
        <f>'03 Prevádzkové výdavky'!J8*Predpoklady!$C$7+'Vstupy emisie'!J4</f>
        <v>-2068581.024</v>
      </c>
      <c r="K10" s="34">
        <f>'03 Prevádzkové výdavky'!K8*Predpoklady!$C$7+'Vstupy emisie'!K4</f>
        <v>-2076928.2719999999</v>
      </c>
      <c r="L10" s="34">
        <f>'03 Prevádzkové výdavky'!L8*Predpoklady!$C$7+'Vstupy emisie'!L4</f>
        <v>-2085275.52</v>
      </c>
      <c r="M10" s="34">
        <f>'03 Prevádzkové výdavky'!M8*Predpoklady!$C$7+'Vstupy emisie'!M4</f>
        <v>-2099034.7200000002</v>
      </c>
      <c r="N10" s="34">
        <f>'03 Prevádzkové výdavky'!N8*Predpoklady!$C$7+'Vstupy emisie'!N4</f>
        <v>-2112793.92</v>
      </c>
      <c r="O10" s="34">
        <f>'03 Prevádzkové výdavky'!O8*Predpoklady!$C$7+'Vstupy emisie'!O4</f>
        <v>-2126553.12</v>
      </c>
      <c r="P10" s="34">
        <f>'03 Prevádzkové výdavky'!P8*Predpoklady!$C$7+'Vstupy emisie'!P4</f>
        <v>-2140312.3199999998</v>
      </c>
      <c r="Q10" s="34">
        <f>'03 Prevádzkové výdavky'!Q8*Predpoklady!$C$7+'Vstupy emisie'!Q4</f>
        <v>-2154071.52</v>
      </c>
      <c r="R10" s="34">
        <f>'03 Prevádzkové výdavky'!R8*Predpoklady!$C$7+'Vstupy emisie'!R4</f>
        <v>-2167372.08</v>
      </c>
      <c r="S10" s="34">
        <f>'03 Prevádzkové výdavky'!S8*Predpoklady!$C$7+'Vstupy emisie'!S4</f>
        <v>-2180672.64</v>
      </c>
      <c r="T10" s="34">
        <f>'03 Prevádzkové výdavky'!T8*Predpoklady!$C$7+'Vstupy emisie'!T4</f>
        <v>-2193973.2000000002</v>
      </c>
      <c r="U10" s="34">
        <f>'03 Prevádzkové výdavky'!U8*Predpoklady!$C$7+'Vstupy emisie'!U4</f>
        <v>-2207273.7599999998</v>
      </c>
      <c r="V10" s="34">
        <f>'03 Prevádzkové výdavky'!V8*Predpoklady!$C$7+'Vstupy emisie'!V4</f>
        <v>-2220574.3199999998</v>
      </c>
      <c r="W10" s="34">
        <f>'03 Prevádzkové výdavky'!W8*Predpoklady!$C$7+'Vstupy emisie'!W4</f>
        <v>-2233874.88</v>
      </c>
      <c r="X10" s="34">
        <f>'03 Prevádzkové výdavky'!X8*Predpoklady!$C$7+'Vstupy emisie'!X4</f>
        <v>-2247175.44</v>
      </c>
      <c r="Y10" s="34">
        <f>'03 Prevádzkové výdavky'!Y8*Predpoklady!$C$7+'Vstupy emisie'!Y4</f>
        <v>-2260476</v>
      </c>
      <c r="Z10" s="34">
        <f>'03 Prevádzkové výdavky'!Z8*Predpoklady!$C$7+'Vstupy emisie'!Z4</f>
        <v>-2273776.56</v>
      </c>
      <c r="AA10" s="34">
        <f>'03 Prevádzkové výdavky'!AA8*Predpoklady!$C$7+'Vstupy emisie'!AA4</f>
        <v>-2287077.12</v>
      </c>
      <c r="AB10" s="34">
        <f>'03 Prevádzkové výdavky'!AB8*Predpoklady!$C$7+'Vstupy emisie'!AB4</f>
        <v>-2300836.3199999998</v>
      </c>
      <c r="AC10" s="34">
        <f>'03 Prevádzkové výdavky'!AC8*Predpoklady!$C$7+'Vstupy emisie'!AC4</f>
        <v>-2314595.52</v>
      </c>
      <c r="AD10" s="34">
        <f>'03 Prevádzkové výdavky'!AD8*Predpoklady!$C$7+'Vstupy emisie'!AD4</f>
        <v>-2328354.7200000002</v>
      </c>
      <c r="AE10" s="34">
        <f>'03 Prevádzkové výdavky'!AE8*Predpoklady!$C$7+'Vstupy emisie'!AE4</f>
        <v>-2342113.92</v>
      </c>
      <c r="AF10" s="34">
        <f>'03 Prevádzkové výdavky'!AF8*Predpoklady!$C$7+'Vstupy emisie'!AF4</f>
        <v>-2355873.12</v>
      </c>
      <c r="AG10" s="34">
        <f>'03 Prevádzkové výdavky'!AG8*Predpoklady!$C$7+'Vstupy emisie'!AG4</f>
        <v>-2355873.12</v>
      </c>
    </row>
    <row r="11" spans="1:33" x14ac:dyDescent="0.2">
      <c r="B11" s="26" t="s">
        <v>101</v>
      </c>
      <c r="C11" s="58">
        <f>D11+NPV(Predpoklady!$C$6,E11:AG11)</f>
        <v>0</v>
      </c>
      <c r="D11" s="34">
        <f>'04 Prevádzkové príjmy'!D11</f>
        <v>0</v>
      </c>
      <c r="E11" s="34">
        <f>'04 Prevádzkové príjmy'!E11</f>
        <v>0</v>
      </c>
      <c r="F11" s="34">
        <f>'04 Prevádzkové príjmy'!F11</f>
        <v>0</v>
      </c>
      <c r="G11" s="34">
        <f>'04 Prevádzkové príjmy'!G11</f>
        <v>0</v>
      </c>
      <c r="H11" s="34">
        <f>'04 Prevádzkové príjmy'!H11</f>
        <v>0</v>
      </c>
      <c r="I11" s="34">
        <f>'04 Prevádzkové príjmy'!I11</f>
        <v>0</v>
      </c>
      <c r="J11" s="34">
        <f>'04 Prevádzkové príjmy'!J11</f>
        <v>0</v>
      </c>
      <c r="K11" s="34">
        <f>'04 Prevádzkové príjmy'!K11</f>
        <v>0</v>
      </c>
      <c r="L11" s="34">
        <f>'04 Prevádzkové príjmy'!L11</f>
        <v>0</v>
      </c>
      <c r="M11" s="34">
        <f>'04 Prevádzkové príjmy'!M11</f>
        <v>0</v>
      </c>
      <c r="N11" s="34">
        <f>'04 Prevádzkové príjmy'!N11</f>
        <v>0</v>
      </c>
      <c r="O11" s="34">
        <f>'04 Prevádzkové príjmy'!O11</f>
        <v>0</v>
      </c>
      <c r="P11" s="34">
        <f>'04 Prevádzkové príjmy'!P11</f>
        <v>0</v>
      </c>
      <c r="Q11" s="34">
        <f>'04 Prevádzkové príjmy'!Q11</f>
        <v>0</v>
      </c>
      <c r="R11" s="34">
        <f>'04 Prevádzkové príjmy'!R11</f>
        <v>0</v>
      </c>
      <c r="S11" s="34">
        <f>'04 Prevádzkové príjmy'!S11</f>
        <v>0</v>
      </c>
      <c r="T11" s="34">
        <f>'04 Prevádzkové príjmy'!T11</f>
        <v>0</v>
      </c>
      <c r="U11" s="34">
        <f>'04 Prevádzkové príjmy'!U11</f>
        <v>0</v>
      </c>
      <c r="V11" s="34">
        <f>'04 Prevádzkové príjmy'!V11</f>
        <v>0</v>
      </c>
      <c r="W11" s="34">
        <f>'04 Prevádzkové príjmy'!W11</f>
        <v>0</v>
      </c>
      <c r="X11" s="34">
        <f>'04 Prevádzkové príjmy'!X11</f>
        <v>0</v>
      </c>
      <c r="Y11" s="34">
        <f>'04 Prevádzkové príjmy'!Y11</f>
        <v>0</v>
      </c>
      <c r="Z11" s="34">
        <f>'04 Prevádzkové príjmy'!Z11</f>
        <v>0</v>
      </c>
      <c r="AA11" s="34">
        <f>'04 Prevádzkové príjmy'!AA11</f>
        <v>0</v>
      </c>
      <c r="AB11" s="34">
        <f>'04 Prevádzkové príjmy'!AB11</f>
        <v>0</v>
      </c>
      <c r="AC11" s="34">
        <f>'04 Prevádzkové príjmy'!AC11</f>
        <v>0</v>
      </c>
      <c r="AD11" s="34">
        <f>'04 Prevádzkové príjmy'!AD11</f>
        <v>0</v>
      </c>
      <c r="AE11" s="34">
        <f>'04 Prevádzkové príjmy'!AE11</f>
        <v>0</v>
      </c>
      <c r="AF11" s="34">
        <f>'04 Prevádzkové príjmy'!AF11</f>
        <v>0</v>
      </c>
      <c r="AG11" s="34">
        <f>'04 Prevádzkové príjmy'!AG11</f>
        <v>0</v>
      </c>
    </row>
    <row r="12" spans="1:33" x14ac:dyDescent="0.2">
      <c r="B12" s="26" t="s">
        <v>78</v>
      </c>
      <c r="C12" s="58">
        <f>D12+NPV(Predpoklady!$C$6,E12:AG12)</f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59">
        <f>'02 Zostatková hodnota'!G7</f>
        <v>0</v>
      </c>
    </row>
    <row r="13" spans="1:33" x14ac:dyDescent="0.2">
      <c r="B13" s="25" t="s">
        <v>102</v>
      </c>
      <c r="C13" s="49">
        <f>D13+NPV(Predpoklady!$C$6,E13:AG13)</f>
        <v>-34472155.373516947</v>
      </c>
      <c r="D13" s="37">
        <f>SUM(D9:D12)</f>
        <v>-2018497.5360000001</v>
      </c>
      <c r="E13" s="37">
        <f t="shared" ref="E13:AG13" si="1">SUM(E9:E12)</f>
        <v>-2026844.784</v>
      </c>
      <c r="F13" s="37">
        <f t="shared" si="1"/>
        <v>-2035192.0319999999</v>
      </c>
      <c r="G13" s="37">
        <f t="shared" si="1"/>
        <v>-2043539.28</v>
      </c>
      <c r="H13" s="37">
        <f t="shared" si="1"/>
        <v>-2051886.5279999999</v>
      </c>
      <c r="I13" s="37">
        <f t="shared" si="1"/>
        <v>-2060233.7760000001</v>
      </c>
      <c r="J13" s="37">
        <f t="shared" si="1"/>
        <v>-2068581.024</v>
      </c>
      <c r="K13" s="37">
        <f t="shared" si="1"/>
        <v>-2076928.2719999999</v>
      </c>
      <c r="L13" s="37">
        <f t="shared" si="1"/>
        <v>-2085275.52</v>
      </c>
      <c r="M13" s="37">
        <f t="shared" si="1"/>
        <v>-2099034.7200000002</v>
      </c>
      <c r="N13" s="37">
        <f t="shared" si="1"/>
        <v>-2112793.92</v>
      </c>
      <c r="O13" s="37">
        <f t="shared" si="1"/>
        <v>-2126553.12</v>
      </c>
      <c r="P13" s="37">
        <f t="shared" si="1"/>
        <v>-2140312.3199999998</v>
      </c>
      <c r="Q13" s="37">
        <f t="shared" si="1"/>
        <v>-2154071.52</v>
      </c>
      <c r="R13" s="37">
        <f t="shared" si="1"/>
        <v>-2167372.08</v>
      </c>
      <c r="S13" s="37">
        <f t="shared" si="1"/>
        <v>-2180672.64</v>
      </c>
      <c r="T13" s="37">
        <f t="shared" si="1"/>
        <v>-2193973.2000000002</v>
      </c>
      <c r="U13" s="37">
        <f t="shared" si="1"/>
        <v>-2207273.7599999998</v>
      </c>
      <c r="V13" s="37">
        <f t="shared" si="1"/>
        <v>-2220574.3199999998</v>
      </c>
      <c r="W13" s="37">
        <f t="shared" si="1"/>
        <v>-2233874.88</v>
      </c>
      <c r="X13" s="37">
        <f t="shared" si="1"/>
        <v>-2247175.44</v>
      </c>
      <c r="Y13" s="37">
        <f t="shared" si="1"/>
        <v>-2260476</v>
      </c>
      <c r="Z13" s="37">
        <f t="shared" si="1"/>
        <v>-2273776.56</v>
      </c>
      <c r="AA13" s="37">
        <f t="shared" si="1"/>
        <v>-2287077.12</v>
      </c>
      <c r="AB13" s="37">
        <f t="shared" si="1"/>
        <v>-2300836.3199999998</v>
      </c>
      <c r="AC13" s="37">
        <f t="shared" si="1"/>
        <v>-2314595.52</v>
      </c>
      <c r="AD13" s="37">
        <f t="shared" si="1"/>
        <v>-2328354.7200000002</v>
      </c>
      <c r="AE13" s="37">
        <f t="shared" si="1"/>
        <v>-2342113.92</v>
      </c>
      <c r="AF13" s="37">
        <f t="shared" si="1"/>
        <v>-2355873.12</v>
      </c>
      <c r="AG13" s="37">
        <f t="shared" si="1"/>
        <v>-2355873.12</v>
      </c>
    </row>
    <row r="15" spans="1:33" x14ac:dyDescent="0.2">
      <c r="B15" s="26" t="s">
        <v>108</v>
      </c>
      <c r="C15" s="60">
        <f>SUM(C9:C12)</f>
        <v>-34472155.373516947</v>
      </c>
      <c r="D15" s="26" t="s">
        <v>104</v>
      </c>
    </row>
    <row r="17" spans="2:33" x14ac:dyDescent="0.2">
      <c r="B17" s="25" t="s">
        <v>83</v>
      </c>
      <c r="C17" s="25"/>
      <c r="D17" s="26" t="s">
        <v>85</v>
      </c>
    </row>
    <row r="18" spans="2:33" x14ac:dyDescent="0.2">
      <c r="B18" s="25"/>
      <c r="C18" s="35" t="s">
        <v>64</v>
      </c>
      <c r="D18" s="50">
        <v>1</v>
      </c>
      <c r="E18" s="50">
        <v>2</v>
      </c>
      <c r="F18" s="50">
        <v>3</v>
      </c>
      <c r="G18" s="50">
        <v>4</v>
      </c>
      <c r="H18" s="50">
        <v>5</v>
      </c>
      <c r="I18" s="50">
        <v>6</v>
      </c>
      <c r="J18" s="50">
        <v>7</v>
      </c>
      <c r="K18" s="50">
        <v>8</v>
      </c>
      <c r="L18" s="50">
        <v>9</v>
      </c>
      <c r="M18" s="50">
        <v>10</v>
      </c>
      <c r="N18" s="50">
        <v>11</v>
      </c>
      <c r="O18" s="50">
        <v>12</v>
      </c>
      <c r="P18" s="50">
        <v>13</v>
      </c>
      <c r="Q18" s="50">
        <v>14</v>
      </c>
      <c r="R18" s="50">
        <v>15</v>
      </c>
      <c r="S18" s="50">
        <v>16</v>
      </c>
      <c r="T18" s="50">
        <v>17</v>
      </c>
      <c r="U18" s="50">
        <v>18</v>
      </c>
      <c r="V18" s="50">
        <v>19</v>
      </c>
      <c r="W18" s="50">
        <v>20</v>
      </c>
      <c r="X18" s="50">
        <v>21</v>
      </c>
      <c r="Y18" s="50">
        <v>22</v>
      </c>
      <c r="Z18" s="50">
        <v>23</v>
      </c>
      <c r="AA18" s="50">
        <v>24</v>
      </c>
      <c r="AB18" s="50">
        <v>25</v>
      </c>
      <c r="AC18" s="50">
        <v>26</v>
      </c>
      <c r="AD18" s="50">
        <v>27</v>
      </c>
      <c r="AE18" s="50">
        <v>28</v>
      </c>
      <c r="AF18" s="50">
        <v>29</v>
      </c>
      <c r="AG18" s="50">
        <v>30</v>
      </c>
    </row>
    <row r="19" spans="2:33" x14ac:dyDescent="0.2">
      <c r="B19" s="44" t="s">
        <v>97</v>
      </c>
      <c r="C19" s="57" t="s">
        <v>98</v>
      </c>
      <c r="D19" s="45">
        <v>2022</v>
      </c>
      <c r="E19" s="45">
        <f>$D$19+D18</f>
        <v>2023</v>
      </c>
      <c r="F19" s="45">
        <f>$D$19+E18</f>
        <v>2024</v>
      </c>
      <c r="G19" s="45">
        <f t="shared" ref="G19:AG19" si="2">$D$19+F18</f>
        <v>2025</v>
      </c>
      <c r="H19" s="45">
        <f t="shared" si="2"/>
        <v>2026</v>
      </c>
      <c r="I19" s="45">
        <f t="shared" si="2"/>
        <v>2027</v>
      </c>
      <c r="J19" s="45">
        <f t="shared" si="2"/>
        <v>2028</v>
      </c>
      <c r="K19" s="45">
        <f t="shared" si="2"/>
        <v>2029</v>
      </c>
      <c r="L19" s="45">
        <f t="shared" si="2"/>
        <v>2030</v>
      </c>
      <c r="M19" s="45">
        <f t="shared" si="2"/>
        <v>2031</v>
      </c>
      <c r="N19" s="45">
        <f t="shared" si="2"/>
        <v>2032</v>
      </c>
      <c r="O19" s="45">
        <f t="shared" si="2"/>
        <v>2033</v>
      </c>
      <c r="P19" s="45">
        <f t="shared" si="2"/>
        <v>2034</v>
      </c>
      <c r="Q19" s="45">
        <f t="shared" si="2"/>
        <v>2035</v>
      </c>
      <c r="R19" s="45">
        <f t="shared" si="2"/>
        <v>2036</v>
      </c>
      <c r="S19" s="45">
        <f t="shared" si="2"/>
        <v>2037</v>
      </c>
      <c r="T19" s="45">
        <f t="shared" si="2"/>
        <v>2038</v>
      </c>
      <c r="U19" s="45">
        <f t="shared" si="2"/>
        <v>2039</v>
      </c>
      <c r="V19" s="45">
        <f t="shared" si="2"/>
        <v>2040</v>
      </c>
      <c r="W19" s="45">
        <f t="shared" si="2"/>
        <v>2041</v>
      </c>
      <c r="X19" s="45">
        <f t="shared" si="2"/>
        <v>2042</v>
      </c>
      <c r="Y19" s="45">
        <f t="shared" si="2"/>
        <v>2043</v>
      </c>
      <c r="Z19" s="45">
        <f t="shared" si="2"/>
        <v>2044</v>
      </c>
      <c r="AA19" s="45">
        <f t="shared" si="2"/>
        <v>2045</v>
      </c>
      <c r="AB19" s="45">
        <f t="shared" si="2"/>
        <v>2046</v>
      </c>
      <c r="AC19" s="45">
        <f t="shared" si="2"/>
        <v>2047</v>
      </c>
      <c r="AD19" s="45">
        <f t="shared" si="2"/>
        <v>2048</v>
      </c>
      <c r="AE19" s="45">
        <f t="shared" si="2"/>
        <v>2049</v>
      </c>
      <c r="AF19" s="45">
        <f t="shared" si="2"/>
        <v>2050</v>
      </c>
      <c r="AG19" s="45">
        <f t="shared" si="2"/>
        <v>2051</v>
      </c>
    </row>
    <row r="20" spans="2:33" x14ac:dyDescent="0.2">
      <c r="B20" s="26" t="s">
        <v>99</v>
      </c>
      <c r="C20" s="58">
        <f>D20+NPV(Predpoklady!$C$6,E20:AG20)</f>
        <v>-15142230.274422694</v>
      </c>
      <c r="D20" s="34">
        <f>-'01 Investičné výdavky'!E15*Predpoklady!$C$7</f>
        <v>-846000</v>
      </c>
      <c r="E20" s="34">
        <f>-'01 Investičné výdavky'!F15*Predpoklady!$C$7</f>
        <v>-2538000</v>
      </c>
      <c r="F20" s="34">
        <f>-'01 Investičné výdavky'!G15*Predpoklady!$C$7</f>
        <v>-5922000</v>
      </c>
      <c r="G20" s="34">
        <f>-'01 Investičné výdavky'!H15*Predpoklady!$C$7</f>
        <v>-5922000</v>
      </c>
      <c r="H20" s="34">
        <f>-'01 Investičné výdavky'!I15*Predpoklady!$C$7</f>
        <v>-1692000</v>
      </c>
      <c r="I20" s="34">
        <f>-'01 Investičné výdavky'!J15*Predpoklady!$C$7</f>
        <v>0</v>
      </c>
      <c r="J20" s="34">
        <f>-'01 Investičné výdavky'!K15*Predpoklady!$C$7</f>
        <v>0</v>
      </c>
      <c r="K20" s="34">
        <f>-'01 Investičné výdavky'!L15*Predpoklady!$C$7</f>
        <v>0</v>
      </c>
      <c r="L20" s="34">
        <f>-'01 Investičné výdavky'!M15*Predpoklady!$C$7</f>
        <v>0</v>
      </c>
      <c r="M20" s="34">
        <f>-'01 Investičné výdavky'!N15*Predpoklady!$C$7</f>
        <v>0</v>
      </c>
      <c r="N20" s="34">
        <f>-'01 Investičné výdavky'!O15*Predpoklady!$C$7</f>
        <v>0</v>
      </c>
      <c r="O20" s="34">
        <f>-'01 Investičné výdavky'!P15*Predpoklady!$C$7</f>
        <v>0</v>
      </c>
      <c r="P20" s="34">
        <f>-'01 Investičné výdavky'!Q15*Predpoklady!$C$7</f>
        <v>0</v>
      </c>
      <c r="Q20" s="34">
        <f>-'01 Investičné výdavky'!R15*Predpoklady!$C$7</f>
        <v>0</v>
      </c>
      <c r="R20" s="34">
        <f>-'01 Investičné výdavky'!S15*Predpoklady!$C$7</f>
        <v>0</v>
      </c>
      <c r="S20" s="34">
        <f>-'01 Investičné výdavky'!T15*Predpoklady!$C$7</f>
        <v>0</v>
      </c>
      <c r="T20" s="34">
        <f>-'01 Investičné výdavky'!U15*Predpoklady!$C$7</f>
        <v>0</v>
      </c>
      <c r="U20" s="34">
        <f>-'01 Investičné výdavky'!V15*Predpoklady!$C$7</f>
        <v>0</v>
      </c>
      <c r="V20" s="34">
        <f>-'01 Investičné výdavky'!W15*Predpoklady!$C$7</f>
        <v>0</v>
      </c>
      <c r="W20" s="34">
        <f>-'01 Investičné výdavky'!X15*Predpoklady!$C$7</f>
        <v>0</v>
      </c>
      <c r="X20" s="34">
        <f>-'01 Investičné výdavky'!Y15*Predpoklady!$C$7</f>
        <v>0</v>
      </c>
      <c r="Y20" s="34">
        <f>-'01 Investičné výdavky'!Z15*Predpoklady!$C$7</f>
        <v>0</v>
      </c>
      <c r="Z20" s="34">
        <f>-'01 Investičné výdavky'!AA15*Predpoklady!$C$7</f>
        <v>0</v>
      </c>
      <c r="AA20" s="34">
        <f>-'01 Investičné výdavky'!AB15*Predpoklady!$C$7</f>
        <v>0</v>
      </c>
      <c r="AB20" s="34">
        <f>-'01 Investičné výdavky'!AC15*Predpoklady!$C$7</f>
        <v>0</v>
      </c>
      <c r="AC20" s="34">
        <f>-'01 Investičné výdavky'!AD15*Predpoklady!$C$7</f>
        <v>0</v>
      </c>
      <c r="AD20" s="34">
        <f>-'01 Investičné výdavky'!AE15*Predpoklady!$C$7</f>
        <v>0</v>
      </c>
      <c r="AE20" s="34">
        <f>-'01 Investičné výdavky'!AF15*Predpoklady!$C$7</f>
        <v>0</v>
      </c>
      <c r="AF20" s="34">
        <f>-'01 Investičné výdavky'!AG15*Predpoklady!$C$7</f>
        <v>0</v>
      </c>
      <c r="AG20" s="34">
        <f>-'01 Investičné výdavky'!AH15*Predpoklady!$C$7</f>
        <v>0</v>
      </c>
    </row>
    <row r="21" spans="2:33" x14ac:dyDescent="0.2">
      <c r="B21" s="26" t="s">
        <v>100</v>
      </c>
      <c r="C21" s="58">
        <f>D21+NPV(Predpoklady!$C$6,E21:AG21)</f>
        <v>-16746318.533268848</v>
      </c>
      <c r="D21" s="34">
        <f>'03 Prevádzkové výdavky'!D16*Predpoklady!$C$7+'Vstupy emisie'!D9</f>
        <v>-1996042.5216000001</v>
      </c>
      <c r="E21" s="34">
        <f>'03 Prevádzkové výdavky'!E16*Predpoklady!$C$7+'Vstupy emisie'!E9</f>
        <v>-2001050.8703999999</v>
      </c>
      <c r="F21" s="34">
        <f>'03 Prevádzkové výdavky'!F16*Predpoklady!$C$7+'Vstupy emisie'!F9</f>
        <v>-2006059.2191999999</v>
      </c>
      <c r="G21" s="34">
        <f>'03 Prevádzkové výdavky'!G16*Predpoklady!$C$7+'Vstupy emisie'!G9</f>
        <v>-2011067.568</v>
      </c>
      <c r="H21" s="34">
        <f>'03 Prevádzkové výdavky'!H16*Predpoklady!$C$7+'Vstupy emisie'!H9</f>
        <v>-2016075.9168</v>
      </c>
      <c r="I21" s="34">
        <f>'03 Prevádzkové výdavky'!I16*Predpoklady!$C$7+'Vstupy emisie'!I9</f>
        <v>-588860.26560000004</v>
      </c>
      <c r="J21" s="34">
        <f>'03 Prevádzkové výdavky'!J16*Predpoklady!$C$7+'Vstupy emisie'!J9</f>
        <v>-593868.61439999996</v>
      </c>
      <c r="K21" s="34">
        <f>'03 Prevádzkové výdavky'!K16*Predpoklady!$C$7+'Vstupy emisie'!K9</f>
        <v>-598876.9632</v>
      </c>
      <c r="L21" s="34">
        <f>'03 Prevádzkové výdavky'!L16*Predpoklady!$C$7+'Vstupy emisie'!L9</f>
        <v>-603885.31200000003</v>
      </c>
      <c r="M21" s="34">
        <f>'03 Prevádzkové výdavky'!M16*Predpoklady!$C$7+'Vstupy emisie'!M9</f>
        <v>-612140.83200000005</v>
      </c>
      <c r="N21" s="34">
        <f>'03 Prevádzkové výdavky'!N16*Predpoklady!$C$7+'Vstupy emisie'!N9</f>
        <v>-620396.35199999996</v>
      </c>
      <c r="O21" s="34">
        <f>'03 Prevádzkové výdavky'!O16*Predpoklady!$C$7+'Vstupy emisie'!O9</f>
        <v>-628651.87199999997</v>
      </c>
      <c r="P21" s="34">
        <f>'03 Prevádzkové výdavky'!P16*Predpoklady!$C$7+'Vstupy emisie'!P9</f>
        <v>-636907.39199999999</v>
      </c>
      <c r="Q21" s="34">
        <f>'03 Prevádzkové výdavky'!Q16*Predpoklady!$C$7+'Vstupy emisie'!Q9</f>
        <v>-645162.91200000001</v>
      </c>
      <c r="R21" s="34">
        <f>'03 Prevádzkové výdavky'!R16*Predpoklady!$C$7+'Vstupy emisie'!R9</f>
        <v>-653143.24800000002</v>
      </c>
      <c r="S21" s="34">
        <f>'03 Prevádzkové výdavky'!S16*Predpoklady!$C$7+'Vstupy emisie'!S9</f>
        <v>-661123.58400000003</v>
      </c>
      <c r="T21" s="34">
        <f>'03 Prevádzkové výdavky'!T16*Predpoklady!$C$7+'Vstupy emisie'!T9</f>
        <v>-669103.92000000004</v>
      </c>
      <c r="U21" s="34">
        <f>'03 Prevádzkové výdavky'!U16*Predpoklady!$C$7+'Vstupy emisie'!U9</f>
        <v>-677084.25600000005</v>
      </c>
      <c r="V21" s="34">
        <f>'03 Prevádzkové výdavky'!V16*Predpoklady!$C$7+'Vstupy emisie'!V9</f>
        <v>-685064.59199999995</v>
      </c>
      <c r="W21" s="34">
        <f>'03 Prevádzkové výdavky'!W16*Predpoklady!$C$7+'Vstupy emisie'!W9</f>
        <v>-693044.92800000007</v>
      </c>
      <c r="X21" s="34">
        <f>'03 Prevádzkové výdavky'!X16*Predpoklady!$C$7+'Vstupy emisie'!X9</f>
        <v>-701025.26399999997</v>
      </c>
      <c r="Y21" s="34">
        <f>'03 Prevádzkové výdavky'!Y16*Predpoklady!$C$7+'Vstupy emisie'!Y9</f>
        <v>-709005.6</v>
      </c>
      <c r="Z21" s="34">
        <f>'03 Prevádzkové výdavky'!Z16*Predpoklady!$C$7+'Vstupy emisie'!Z9</f>
        <v>-716985.93599999999</v>
      </c>
      <c r="AA21" s="34">
        <f>'03 Prevádzkové výdavky'!AA16*Predpoklady!$C$7+'Vstupy emisie'!AA9</f>
        <v>-724966.272</v>
      </c>
      <c r="AB21" s="34">
        <f>'03 Prevádzkové výdavky'!AB16*Predpoklady!$C$7+'Vstupy emisie'!AB9</f>
        <v>-733221.79200000002</v>
      </c>
      <c r="AC21" s="34">
        <f>'03 Prevádzkové výdavky'!AC16*Predpoklady!$C$7+'Vstupy emisie'!AC9</f>
        <v>-741477.31200000003</v>
      </c>
      <c r="AD21" s="34">
        <f>'03 Prevádzkové výdavky'!AD16*Predpoklady!$C$7+'Vstupy emisie'!AD9</f>
        <v>-749732.83200000005</v>
      </c>
      <c r="AE21" s="34">
        <f>'03 Prevádzkové výdavky'!AE16*Predpoklady!$C$7+'Vstupy emisie'!AE9</f>
        <v>-757988.35199999996</v>
      </c>
      <c r="AF21" s="34">
        <f>'03 Prevádzkové výdavky'!AF16*Predpoklady!$C$7+'Vstupy emisie'!AF9</f>
        <v>-766243.87199999997</v>
      </c>
      <c r="AG21" s="34">
        <f>'03 Prevádzkové výdavky'!AG16*Predpoklady!$C$7+'Vstupy emisie'!AG9</f>
        <v>-766243.87199999997</v>
      </c>
    </row>
    <row r="22" spans="2:33" x14ac:dyDescent="0.2">
      <c r="B22" s="26" t="s">
        <v>101</v>
      </c>
      <c r="C22" s="58">
        <f>D22+NPV(Predpoklady!$C$6,E22:AG22)</f>
        <v>0</v>
      </c>
      <c r="D22" s="34">
        <f>'04 Prevádzkové príjmy'!D12</f>
        <v>0</v>
      </c>
      <c r="E22" s="34">
        <f>'04 Prevádzkové príjmy'!E12</f>
        <v>0</v>
      </c>
      <c r="F22" s="34">
        <f>'04 Prevádzkové príjmy'!F12</f>
        <v>0</v>
      </c>
      <c r="G22" s="34">
        <f>'04 Prevádzkové príjmy'!G12</f>
        <v>0</v>
      </c>
      <c r="H22" s="34">
        <f>'04 Prevádzkové príjmy'!H12</f>
        <v>0</v>
      </c>
      <c r="I22" s="34">
        <f>'04 Prevádzkové príjmy'!I12</f>
        <v>0</v>
      </c>
      <c r="J22" s="34">
        <f>'04 Prevádzkové príjmy'!J12</f>
        <v>0</v>
      </c>
      <c r="K22" s="34">
        <f>'04 Prevádzkové príjmy'!K12</f>
        <v>0</v>
      </c>
      <c r="L22" s="34">
        <f>'04 Prevádzkové príjmy'!L12</f>
        <v>0</v>
      </c>
      <c r="M22" s="34">
        <f>'04 Prevádzkové príjmy'!M12</f>
        <v>0</v>
      </c>
      <c r="N22" s="34">
        <f>'04 Prevádzkové príjmy'!N12</f>
        <v>0</v>
      </c>
      <c r="O22" s="34">
        <f>'04 Prevádzkové príjmy'!O12</f>
        <v>0</v>
      </c>
      <c r="P22" s="34">
        <f>'04 Prevádzkové príjmy'!P12</f>
        <v>0</v>
      </c>
      <c r="Q22" s="34">
        <f>'04 Prevádzkové príjmy'!Q12</f>
        <v>0</v>
      </c>
      <c r="R22" s="34">
        <f>'04 Prevádzkové príjmy'!R12</f>
        <v>0</v>
      </c>
      <c r="S22" s="34">
        <f>'04 Prevádzkové príjmy'!S12</f>
        <v>0</v>
      </c>
      <c r="T22" s="34">
        <f>'04 Prevádzkové príjmy'!T12</f>
        <v>0</v>
      </c>
      <c r="U22" s="34">
        <f>'04 Prevádzkové príjmy'!U12</f>
        <v>0</v>
      </c>
      <c r="V22" s="34">
        <f>'04 Prevádzkové príjmy'!V12</f>
        <v>0</v>
      </c>
      <c r="W22" s="34">
        <f>'04 Prevádzkové príjmy'!W12</f>
        <v>0</v>
      </c>
      <c r="X22" s="34">
        <f>'04 Prevádzkové príjmy'!X12</f>
        <v>0</v>
      </c>
      <c r="Y22" s="34">
        <f>'04 Prevádzkové príjmy'!Y12</f>
        <v>0</v>
      </c>
      <c r="Z22" s="34">
        <f>'04 Prevádzkové príjmy'!Z12</f>
        <v>0</v>
      </c>
      <c r="AA22" s="34">
        <f>'04 Prevádzkové príjmy'!AA12</f>
        <v>0</v>
      </c>
      <c r="AB22" s="34">
        <f>'04 Prevádzkové príjmy'!AB12</f>
        <v>0</v>
      </c>
      <c r="AC22" s="34">
        <f>'04 Prevádzkové príjmy'!AC12</f>
        <v>0</v>
      </c>
      <c r="AD22" s="34">
        <f>'04 Prevádzkové príjmy'!AD12</f>
        <v>0</v>
      </c>
      <c r="AE22" s="34">
        <f>'04 Prevádzkové príjmy'!AE12</f>
        <v>0</v>
      </c>
      <c r="AF22" s="34">
        <f>'04 Prevádzkové príjmy'!AF12</f>
        <v>0</v>
      </c>
      <c r="AG22" s="34">
        <f>'04 Prevádzkové príjmy'!AG12</f>
        <v>0</v>
      </c>
    </row>
    <row r="23" spans="2:33" x14ac:dyDescent="0.2">
      <c r="B23" s="26" t="s">
        <v>78</v>
      </c>
      <c r="C23" s="58">
        <f>D23+NPV(Predpoklady!$C$6,E23:AG23)</f>
        <v>2397880.1891449834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59">
        <f>'02 Zostatková hodnota'!G12*Predpoklady!$C$7</f>
        <v>9870000.0000000019</v>
      </c>
    </row>
    <row r="24" spans="2:33" x14ac:dyDescent="0.2">
      <c r="B24" s="25" t="s">
        <v>102</v>
      </c>
      <c r="C24" s="49">
        <f>D24+NPV(Predpoklady!$C$6,E24:AG24)</f>
        <v>-29490668.618546553</v>
      </c>
      <c r="D24" s="37">
        <f>SUM(D20:D23)</f>
        <v>-2842042.5216000001</v>
      </c>
      <c r="E24" s="37">
        <f t="shared" ref="E24:AG24" si="3">SUM(E20:E23)</f>
        <v>-4539050.8704000004</v>
      </c>
      <c r="F24" s="37">
        <f t="shared" si="3"/>
        <v>-7928059.2192000002</v>
      </c>
      <c r="G24" s="37">
        <f t="shared" si="3"/>
        <v>-7933067.568</v>
      </c>
      <c r="H24" s="37">
        <f t="shared" si="3"/>
        <v>-3708075.9167999998</v>
      </c>
      <c r="I24" s="37">
        <f t="shared" si="3"/>
        <v>-588860.26560000004</v>
      </c>
      <c r="J24" s="37">
        <f t="shared" si="3"/>
        <v>-593868.61439999996</v>
      </c>
      <c r="K24" s="37">
        <f t="shared" si="3"/>
        <v>-598876.9632</v>
      </c>
      <c r="L24" s="37">
        <f t="shared" si="3"/>
        <v>-603885.31200000003</v>
      </c>
      <c r="M24" s="37">
        <f t="shared" si="3"/>
        <v>-612140.83200000005</v>
      </c>
      <c r="N24" s="37">
        <f t="shared" si="3"/>
        <v>-620396.35199999996</v>
      </c>
      <c r="O24" s="37">
        <f t="shared" si="3"/>
        <v>-628651.87199999997</v>
      </c>
      <c r="P24" s="37">
        <f t="shared" si="3"/>
        <v>-636907.39199999999</v>
      </c>
      <c r="Q24" s="37">
        <f t="shared" si="3"/>
        <v>-645162.91200000001</v>
      </c>
      <c r="R24" s="37">
        <f t="shared" si="3"/>
        <v>-653143.24800000002</v>
      </c>
      <c r="S24" s="37">
        <f t="shared" si="3"/>
        <v>-661123.58400000003</v>
      </c>
      <c r="T24" s="37">
        <f t="shared" si="3"/>
        <v>-669103.92000000004</v>
      </c>
      <c r="U24" s="37">
        <f t="shared" si="3"/>
        <v>-677084.25600000005</v>
      </c>
      <c r="V24" s="37">
        <f t="shared" si="3"/>
        <v>-685064.59199999995</v>
      </c>
      <c r="W24" s="37">
        <f t="shared" si="3"/>
        <v>-693044.92800000007</v>
      </c>
      <c r="X24" s="37">
        <f t="shared" si="3"/>
        <v>-701025.26399999997</v>
      </c>
      <c r="Y24" s="37">
        <f t="shared" si="3"/>
        <v>-709005.6</v>
      </c>
      <c r="Z24" s="37">
        <f t="shared" si="3"/>
        <v>-716985.93599999999</v>
      </c>
      <c r="AA24" s="37">
        <f t="shared" si="3"/>
        <v>-724966.272</v>
      </c>
      <c r="AB24" s="37">
        <f t="shared" si="3"/>
        <v>-733221.79200000002</v>
      </c>
      <c r="AC24" s="37">
        <f t="shared" si="3"/>
        <v>-741477.31200000003</v>
      </c>
      <c r="AD24" s="37">
        <f t="shared" si="3"/>
        <v>-749732.83200000005</v>
      </c>
      <c r="AE24" s="37">
        <f t="shared" si="3"/>
        <v>-757988.35199999996</v>
      </c>
      <c r="AF24" s="37">
        <f t="shared" si="3"/>
        <v>-766243.87199999997</v>
      </c>
      <c r="AG24" s="37">
        <f t="shared" si="3"/>
        <v>9103756.1280000024</v>
      </c>
    </row>
    <row r="26" spans="2:33" x14ac:dyDescent="0.2">
      <c r="B26" s="26" t="s">
        <v>108</v>
      </c>
      <c r="C26" s="60">
        <f>SUM(C20:C23)</f>
        <v>-29490668.61854656</v>
      </c>
      <c r="D26" s="26" t="s">
        <v>104</v>
      </c>
    </row>
    <row r="28" spans="2:33" x14ac:dyDescent="0.2">
      <c r="B28" s="25" t="s">
        <v>84</v>
      </c>
      <c r="C28" s="25"/>
      <c r="D28" s="26" t="s">
        <v>85</v>
      </c>
    </row>
    <row r="29" spans="2:33" x14ac:dyDescent="0.2">
      <c r="B29" s="25"/>
      <c r="C29" s="35" t="s">
        <v>64</v>
      </c>
      <c r="D29" s="50">
        <v>1</v>
      </c>
      <c r="E29" s="50">
        <v>2</v>
      </c>
      <c r="F29" s="50">
        <v>3</v>
      </c>
      <c r="G29" s="50">
        <v>4</v>
      </c>
      <c r="H29" s="50">
        <v>5</v>
      </c>
      <c r="I29" s="50">
        <v>6</v>
      </c>
      <c r="J29" s="50">
        <v>7</v>
      </c>
      <c r="K29" s="50">
        <v>8</v>
      </c>
      <c r="L29" s="50">
        <v>9</v>
      </c>
      <c r="M29" s="50">
        <v>10</v>
      </c>
      <c r="N29" s="50">
        <v>11</v>
      </c>
      <c r="O29" s="50">
        <v>12</v>
      </c>
      <c r="P29" s="50">
        <v>13</v>
      </c>
      <c r="Q29" s="50">
        <v>14</v>
      </c>
      <c r="R29" s="50">
        <v>15</v>
      </c>
      <c r="S29" s="50">
        <v>16</v>
      </c>
      <c r="T29" s="50">
        <v>17</v>
      </c>
      <c r="U29" s="50">
        <v>18</v>
      </c>
      <c r="V29" s="50">
        <v>19</v>
      </c>
      <c r="W29" s="50">
        <v>20</v>
      </c>
      <c r="X29" s="50">
        <v>21</v>
      </c>
      <c r="Y29" s="50">
        <v>22</v>
      </c>
      <c r="Z29" s="50">
        <v>23</v>
      </c>
      <c r="AA29" s="50">
        <v>24</v>
      </c>
      <c r="AB29" s="50">
        <v>25</v>
      </c>
      <c r="AC29" s="50">
        <v>26</v>
      </c>
      <c r="AD29" s="50">
        <v>27</v>
      </c>
      <c r="AE29" s="50">
        <v>28</v>
      </c>
      <c r="AF29" s="50">
        <v>29</v>
      </c>
      <c r="AG29" s="50">
        <v>30</v>
      </c>
    </row>
    <row r="30" spans="2:33" x14ac:dyDescent="0.2">
      <c r="B30" s="44" t="s">
        <v>97</v>
      </c>
      <c r="C30" s="57" t="s">
        <v>98</v>
      </c>
      <c r="D30" s="45">
        <v>2022</v>
      </c>
      <c r="E30" s="45">
        <f>$D$19+D29</f>
        <v>2023</v>
      </c>
      <c r="F30" s="45">
        <f>$D$19+E29</f>
        <v>2024</v>
      </c>
      <c r="G30" s="45">
        <f t="shared" ref="G30:AG30" si="4">$D$19+F29</f>
        <v>2025</v>
      </c>
      <c r="H30" s="45">
        <f t="shared" si="4"/>
        <v>2026</v>
      </c>
      <c r="I30" s="45">
        <f t="shared" si="4"/>
        <v>2027</v>
      </c>
      <c r="J30" s="45">
        <f t="shared" si="4"/>
        <v>2028</v>
      </c>
      <c r="K30" s="45">
        <f t="shared" si="4"/>
        <v>2029</v>
      </c>
      <c r="L30" s="45">
        <f t="shared" si="4"/>
        <v>2030</v>
      </c>
      <c r="M30" s="45">
        <f t="shared" si="4"/>
        <v>2031</v>
      </c>
      <c r="N30" s="45">
        <f t="shared" si="4"/>
        <v>2032</v>
      </c>
      <c r="O30" s="45">
        <f t="shared" si="4"/>
        <v>2033</v>
      </c>
      <c r="P30" s="45">
        <f t="shared" si="4"/>
        <v>2034</v>
      </c>
      <c r="Q30" s="45">
        <f t="shared" si="4"/>
        <v>2035</v>
      </c>
      <c r="R30" s="45">
        <f t="shared" si="4"/>
        <v>2036</v>
      </c>
      <c r="S30" s="45">
        <f t="shared" si="4"/>
        <v>2037</v>
      </c>
      <c r="T30" s="45">
        <f t="shared" si="4"/>
        <v>2038</v>
      </c>
      <c r="U30" s="45">
        <f t="shared" si="4"/>
        <v>2039</v>
      </c>
      <c r="V30" s="45">
        <f t="shared" si="4"/>
        <v>2040</v>
      </c>
      <c r="W30" s="45">
        <f t="shared" si="4"/>
        <v>2041</v>
      </c>
      <c r="X30" s="45">
        <f t="shared" si="4"/>
        <v>2042</v>
      </c>
      <c r="Y30" s="45">
        <f t="shared" si="4"/>
        <v>2043</v>
      </c>
      <c r="Z30" s="45">
        <f t="shared" si="4"/>
        <v>2044</v>
      </c>
      <c r="AA30" s="45">
        <f t="shared" si="4"/>
        <v>2045</v>
      </c>
      <c r="AB30" s="45">
        <f t="shared" si="4"/>
        <v>2046</v>
      </c>
      <c r="AC30" s="45">
        <f t="shared" si="4"/>
        <v>2047</v>
      </c>
      <c r="AD30" s="45">
        <f t="shared" si="4"/>
        <v>2048</v>
      </c>
      <c r="AE30" s="45">
        <f t="shared" si="4"/>
        <v>2049</v>
      </c>
      <c r="AF30" s="45">
        <f t="shared" si="4"/>
        <v>2050</v>
      </c>
      <c r="AG30" s="45">
        <f t="shared" si="4"/>
        <v>2051</v>
      </c>
    </row>
    <row r="31" spans="2:33" x14ac:dyDescent="0.2">
      <c r="B31" s="26" t="s">
        <v>99</v>
      </c>
      <c r="C31" s="58">
        <f>D31+NPV(Predpoklady!$C$6,E31:AG31)</f>
        <v>-2700000</v>
      </c>
      <c r="D31" s="34">
        <f>-'01 Investičné výdavky'!E23*Predpoklady!$C$7</f>
        <v>-2700000</v>
      </c>
      <c r="E31" s="34">
        <f>-'01 Investičné výdavky'!F23</f>
        <v>0</v>
      </c>
      <c r="F31" s="34">
        <f>-'01 Investičné výdavky'!G23</f>
        <v>0</v>
      </c>
      <c r="G31" s="34">
        <f>-'01 Investičné výdavky'!H23</f>
        <v>0</v>
      </c>
      <c r="H31" s="34">
        <f>-'01 Investičné výdavky'!I23</f>
        <v>0</v>
      </c>
      <c r="I31" s="34">
        <f>-'01 Investičné výdavky'!J23</f>
        <v>0</v>
      </c>
      <c r="J31" s="34">
        <f>-'01 Investičné výdavky'!K23</f>
        <v>0</v>
      </c>
      <c r="K31" s="34">
        <f>-'01 Investičné výdavky'!L23</f>
        <v>0</v>
      </c>
      <c r="L31" s="34">
        <f>-'01 Investičné výdavky'!M23</f>
        <v>0</v>
      </c>
      <c r="M31" s="34">
        <f>-'01 Investičné výdavky'!N23</f>
        <v>0</v>
      </c>
      <c r="N31" s="34">
        <f>-'01 Investičné výdavky'!O23</f>
        <v>0</v>
      </c>
      <c r="O31" s="34">
        <f>-'01 Investičné výdavky'!P23</f>
        <v>0</v>
      </c>
      <c r="P31" s="34">
        <f>-'01 Investičné výdavky'!Q23</f>
        <v>0</v>
      </c>
      <c r="Q31" s="34">
        <f>-'01 Investičné výdavky'!R23</f>
        <v>0</v>
      </c>
      <c r="R31" s="34">
        <f>-'01 Investičné výdavky'!S23</f>
        <v>0</v>
      </c>
      <c r="S31" s="34">
        <f>-'01 Investičné výdavky'!T23</f>
        <v>0</v>
      </c>
      <c r="T31" s="34">
        <f>-'01 Investičné výdavky'!U23</f>
        <v>0</v>
      </c>
      <c r="U31" s="34">
        <f>-'01 Investičné výdavky'!V23</f>
        <v>0</v>
      </c>
      <c r="V31" s="34">
        <f>-'01 Investičné výdavky'!W23</f>
        <v>0</v>
      </c>
      <c r="W31" s="34">
        <f>-'01 Investičné výdavky'!X23</f>
        <v>0</v>
      </c>
      <c r="X31" s="34">
        <f>-'01 Investičné výdavky'!Y23</f>
        <v>0</v>
      </c>
      <c r="Y31" s="34">
        <f>-'01 Investičné výdavky'!Z23</f>
        <v>0</v>
      </c>
      <c r="Z31" s="34">
        <f>-'01 Investičné výdavky'!AA23</f>
        <v>0</v>
      </c>
      <c r="AA31" s="34">
        <f>-'01 Investičné výdavky'!AB23</f>
        <v>0</v>
      </c>
      <c r="AB31" s="34">
        <f>-'01 Investičné výdavky'!AC23</f>
        <v>0</v>
      </c>
      <c r="AC31" s="34">
        <f>-'01 Investičné výdavky'!AD23</f>
        <v>0</v>
      </c>
      <c r="AD31" s="34">
        <f>-'01 Investičné výdavky'!AE23</f>
        <v>0</v>
      </c>
      <c r="AE31" s="34">
        <f>-'01 Investičné výdavky'!AF23</f>
        <v>0</v>
      </c>
      <c r="AF31" s="34">
        <f>-'01 Investičné výdavky'!AG23</f>
        <v>0</v>
      </c>
      <c r="AG31" s="34">
        <f>-'01 Investičné výdavky'!AH23</f>
        <v>0</v>
      </c>
    </row>
    <row r="32" spans="2:33" x14ac:dyDescent="0.2">
      <c r="B32" s="26" t="s">
        <v>100</v>
      </c>
      <c r="C32" s="58">
        <f>D32+NPV(Predpoklady!$C$6,E32:AG32)</f>
        <v>-29575954.947535541</v>
      </c>
      <c r="D32" s="34">
        <f>'03 Prevádzkové výdavky'!D24*Predpoklady!$C$7+'Vstupy emisie'!D14</f>
        <v>-1738962.0989999999</v>
      </c>
      <c r="E32" s="34">
        <f>'03 Prevádzkové výdavky'!E24*Predpoklady!$C$7+'Vstupy emisie'!E14</f>
        <v>-1745613.81225</v>
      </c>
      <c r="F32" s="34">
        <f>'03 Prevádzkové výdavky'!F24*Predpoklady!$C$7+'Vstupy emisie'!F14</f>
        <v>-1752265.5255</v>
      </c>
      <c r="G32" s="34">
        <f>'03 Prevádzkové výdavky'!G24*Predpoklady!$C$7+'Vstupy emisie'!G14</f>
        <v>-1758917.23875</v>
      </c>
      <c r="H32" s="34">
        <f>'03 Prevádzkové výdavky'!H24*Predpoklady!$C$7+'Vstupy emisie'!H14</f>
        <v>-1765568.952</v>
      </c>
      <c r="I32" s="34">
        <f>'03 Prevádzkové výdavky'!I24*Predpoklady!$C$7+'Vstupy emisie'!I14</f>
        <v>-1772220.6652500001</v>
      </c>
      <c r="J32" s="34">
        <f>'03 Prevádzkové výdavky'!J24*Predpoklady!$C$7+'Vstupy emisie'!J14</f>
        <v>-1778872.3785000001</v>
      </c>
      <c r="K32" s="34">
        <f>'03 Prevádzkové výdavky'!K24*Predpoklady!$C$7+'Vstupy emisie'!K14</f>
        <v>-1785524.0917499999</v>
      </c>
      <c r="L32" s="34">
        <f>'03 Prevádzkové výdavky'!L24*Predpoklady!$C$7+'Vstupy emisie'!L14</f>
        <v>-1792175.8049999999</v>
      </c>
      <c r="M32" s="34">
        <f>'03 Prevádzkové výdavky'!M24*Predpoklady!$C$7+'Vstupy emisie'!M14</f>
        <v>-1803140.1675</v>
      </c>
      <c r="N32" s="34">
        <f>'03 Prevádzkové výdavky'!N24*Predpoklady!$C$7+'Vstupy emisie'!N14</f>
        <v>-1814104.53</v>
      </c>
      <c r="O32" s="34">
        <f>'03 Prevádzkové výdavky'!O24*Predpoklady!$C$7+'Vstupy emisie'!O14</f>
        <v>-1825068.8925000001</v>
      </c>
      <c r="P32" s="34">
        <f>'03 Prevádzkové výdavky'!P24*Predpoklady!$C$7+'Vstupy emisie'!P14</f>
        <v>-1836033.2549999999</v>
      </c>
      <c r="Q32" s="34">
        <f>'03 Prevádzkové výdavky'!Q24*Predpoklady!$C$7+'Vstupy emisie'!Q14</f>
        <v>-1846997.6174999999</v>
      </c>
      <c r="R32" s="34">
        <f>'03 Prevádzkové výdavky'!R24*Predpoklady!$C$7+'Vstupy emisie'!R14</f>
        <v>-1857596.50125</v>
      </c>
      <c r="S32" s="34">
        <f>'03 Prevádzkové výdavky'!S24*Predpoklady!$C$7+'Vstupy emisie'!S14</f>
        <v>-1868195.385</v>
      </c>
      <c r="T32" s="34">
        <f>'03 Prevádzkové výdavky'!T24*Predpoklady!$C$7+'Vstupy emisie'!T14</f>
        <v>-1878794.26875</v>
      </c>
      <c r="U32" s="34">
        <f>'03 Prevádzkové výdavky'!U24*Predpoklady!$C$7+'Vstupy emisie'!U14</f>
        <v>-1889393.1525000001</v>
      </c>
      <c r="V32" s="34">
        <f>'03 Prevádzkové výdavky'!V24*Predpoklady!$C$7+'Vstupy emisie'!V14</f>
        <v>-1899992.0362500001</v>
      </c>
      <c r="W32" s="34">
        <f>'03 Prevádzkové výdavky'!W24*Predpoklady!$C$7+'Vstupy emisie'!W14</f>
        <v>-1910590.92</v>
      </c>
      <c r="X32" s="34">
        <f>'03 Prevádzkové výdavky'!X24*Predpoklady!$C$7+'Vstupy emisie'!X14</f>
        <v>-1921189.80375</v>
      </c>
      <c r="Y32" s="34">
        <f>'03 Prevádzkové výdavky'!Y24*Predpoklady!$C$7+'Vstupy emisie'!Y14</f>
        <v>-1931788.6875</v>
      </c>
      <c r="Z32" s="34">
        <f>'03 Prevádzkové výdavky'!Z24*Predpoklady!$C$7+'Vstupy emisie'!Z14</f>
        <v>-1942387.57125</v>
      </c>
      <c r="AA32" s="34">
        <f>'03 Prevádzkové výdavky'!AA24*Predpoklady!$C$7+'Vstupy emisie'!AA14</f>
        <v>-1952986.4550000001</v>
      </c>
      <c r="AB32" s="34">
        <f>'03 Prevádzkové výdavky'!AB24*Predpoklady!$C$7+'Vstupy emisie'!AB14</f>
        <v>-1963950.8175000001</v>
      </c>
      <c r="AC32" s="34">
        <f>'03 Prevádzkové výdavky'!AC24*Predpoklady!$C$7+'Vstupy emisie'!AC14</f>
        <v>-1974915.1800000002</v>
      </c>
      <c r="AD32" s="34">
        <f>'03 Prevádzkové výdavky'!AD24*Predpoklady!$C$7+'Vstupy emisie'!AD14</f>
        <v>-1985879.5425</v>
      </c>
      <c r="AE32" s="34">
        <f>'03 Prevádzkové výdavky'!AE24*Predpoklady!$C$7+'Vstupy emisie'!AE14</f>
        <v>-1996843.905</v>
      </c>
      <c r="AF32" s="34">
        <f>'03 Prevádzkové výdavky'!AF24*Predpoklady!$C$7+'Vstupy emisie'!AF14</f>
        <v>-2007808.2675000001</v>
      </c>
      <c r="AG32" s="34">
        <f>'03 Prevádzkové výdavky'!AG24*Predpoklady!$C$7+'Vstupy emisie'!AG14</f>
        <v>-2007808.2675000001</v>
      </c>
    </row>
    <row r="33" spans="2:33" x14ac:dyDescent="0.2">
      <c r="B33" s="26" t="s">
        <v>101</v>
      </c>
      <c r="C33" s="58">
        <f>D33+NPV(Predpoklady!$C$6,E33:AG33)</f>
        <v>0</v>
      </c>
      <c r="D33" s="34">
        <f>'04 Prevádzkové príjmy'!D23</f>
        <v>0</v>
      </c>
      <c r="E33" s="34">
        <f>'04 Prevádzkové príjmy'!E23</f>
        <v>0</v>
      </c>
      <c r="F33" s="34">
        <f>'04 Prevádzkové príjmy'!F23</f>
        <v>0</v>
      </c>
      <c r="G33" s="34">
        <f>'04 Prevádzkové príjmy'!G23</f>
        <v>0</v>
      </c>
      <c r="H33" s="34">
        <f>'04 Prevádzkové príjmy'!H23</f>
        <v>0</v>
      </c>
      <c r="I33" s="34">
        <f>'04 Prevádzkové príjmy'!I23</f>
        <v>0</v>
      </c>
      <c r="J33" s="34">
        <f>'04 Prevádzkové príjmy'!J23</f>
        <v>0</v>
      </c>
      <c r="K33" s="34">
        <f>'04 Prevádzkové príjmy'!K23</f>
        <v>0</v>
      </c>
      <c r="L33" s="34">
        <f>'04 Prevádzkové príjmy'!L23</f>
        <v>0</v>
      </c>
      <c r="M33" s="34">
        <f>'04 Prevádzkové príjmy'!M23</f>
        <v>0</v>
      </c>
      <c r="N33" s="34">
        <f>'04 Prevádzkové príjmy'!N23</f>
        <v>0</v>
      </c>
      <c r="O33" s="34">
        <f>'04 Prevádzkové príjmy'!O23</f>
        <v>0</v>
      </c>
      <c r="P33" s="34">
        <f>'04 Prevádzkové príjmy'!P23</f>
        <v>0</v>
      </c>
      <c r="Q33" s="34">
        <f>'04 Prevádzkové príjmy'!Q23</f>
        <v>0</v>
      </c>
      <c r="R33" s="34">
        <f>'04 Prevádzkové príjmy'!R23</f>
        <v>0</v>
      </c>
      <c r="S33" s="34">
        <f>'04 Prevádzkové príjmy'!S23</f>
        <v>0</v>
      </c>
      <c r="T33" s="34">
        <f>'04 Prevádzkové príjmy'!T23</f>
        <v>0</v>
      </c>
      <c r="U33" s="34">
        <f>'04 Prevádzkové príjmy'!U23</f>
        <v>0</v>
      </c>
      <c r="V33" s="34">
        <f>'04 Prevádzkové príjmy'!V23</f>
        <v>0</v>
      </c>
      <c r="W33" s="34">
        <f>'04 Prevádzkové príjmy'!W23</f>
        <v>0</v>
      </c>
      <c r="X33" s="34">
        <f>'04 Prevádzkové príjmy'!X23</f>
        <v>0</v>
      </c>
      <c r="Y33" s="34">
        <f>'04 Prevádzkové príjmy'!Y23</f>
        <v>0</v>
      </c>
      <c r="Z33" s="34">
        <f>'04 Prevádzkové príjmy'!Z23</f>
        <v>0</v>
      </c>
      <c r="AA33" s="34">
        <f>'04 Prevádzkové príjmy'!AA23</f>
        <v>0</v>
      </c>
      <c r="AB33" s="34">
        <f>'04 Prevádzkové príjmy'!AB23</f>
        <v>0</v>
      </c>
      <c r="AC33" s="34">
        <f>'04 Prevádzkové príjmy'!AC23</f>
        <v>0</v>
      </c>
      <c r="AD33" s="34">
        <f>'04 Prevádzkové príjmy'!AD23</f>
        <v>0</v>
      </c>
      <c r="AE33" s="34">
        <f>'04 Prevádzkové príjmy'!AE23</f>
        <v>0</v>
      </c>
      <c r="AF33" s="34">
        <f>'04 Prevádzkové príjmy'!AF23</f>
        <v>0</v>
      </c>
      <c r="AG33" s="34">
        <f>'04 Prevádzkové príjmy'!AG23</f>
        <v>0</v>
      </c>
    </row>
    <row r="34" spans="2:33" x14ac:dyDescent="0.2">
      <c r="B34" s="26" t="s">
        <v>78</v>
      </c>
      <c r="C34" s="58">
        <f>D34+NPV(Predpoklady!$C$6,E34:AG34)</f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59">
        <f>'02 Zostatková hodnota'!G23</f>
        <v>0</v>
      </c>
    </row>
    <row r="35" spans="2:33" x14ac:dyDescent="0.2">
      <c r="B35" s="25" t="s">
        <v>102</v>
      </c>
      <c r="C35" s="49">
        <f>D35+NPV(Predpoklady!$C$6,E35:AG35)</f>
        <v>-32275954.947535541</v>
      </c>
      <c r="D35" s="37">
        <f>SUM(D31:D34)</f>
        <v>-4438962.0989999995</v>
      </c>
      <c r="E35" s="37">
        <f t="shared" ref="E35:AG35" si="5">SUM(E31:E34)</f>
        <v>-1745613.81225</v>
      </c>
      <c r="F35" s="37">
        <f t="shared" si="5"/>
        <v>-1752265.5255</v>
      </c>
      <c r="G35" s="37">
        <f t="shared" si="5"/>
        <v>-1758917.23875</v>
      </c>
      <c r="H35" s="37">
        <f t="shared" si="5"/>
        <v>-1765568.952</v>
      </c>
      <c r="I35" s="37">
        <f t="shared" si="5"/>
        <v>-1772220.6652500001</v>
      </c>
      <c r="J35" s="37">
        <f t="shared" si="5"/>
        <v>-1778872.3785000001</v>
      </c>
      <c r="K35" s="37">
        <f t="shared" si="5"/>
        <v>-1785524.0917499999</v>
      </c>
      <c r="L35" s="37">
        <f t="shared" si="5"/>
        <v>-1792175.8049999999</v>
      </c>
      <c r="M35" s="37">
        <f t="shared" si="5"/>
        <v>-1803140.1675</v>
      </c>
      <c r="N35" s="37">
        <f t="shared" si="5"/>
        <v>-1814104.53</v>
      </c>
      <c r="O35" s="37">
        <f t="shared" si="5"/>
        <v>-1825068.8925000001</v>
      </c>
      <c r="P35" s="37">
        <f t="shared" si="5"/>
        <v>-1836033.2549999999</v>
      </c>
      <c r="Q35" s="37">
        <f t="shared" si="5"/>
        <v>-1846997.6174999999</v>
      </c>
      <c r="R35" s="37">
        <f t="shared" si="5"/>
        <v>-1857596.50125</v>
      </c>
      <c r="S35" s="37">
        <f t="shared" si="5"/>
        <v>-1868195.385</v>
      </c>
      <c r="T35" s="37">
        <f t="shared" si="5"/>
        <v>-1878794.26875</v>
      </c>
      <c r="U35" s="37">
        <f t="shared" si="5"/>
        <v>-1889393.1525000001</v>
      </c>
      <c r="V35" s="37">
        <f t="shared" si="5"/>
        <v>-1899992.0362500001</v>
      </c>
      <c r="W35" s="37">
        <f t="shared" si="5"/>
        <v>-1910590.92</v>
      </c>
      <c r="X35" s="37">
        <f t="shared" si="5"/>
        <v>-1921189.80375</v>
      </c>
      <c r="Y35" s="37">
        <f t="shared" si="5"/>
        <v>-1931788.6875</v>
      </c>
      <c r="Z35" s="37">
        <f t="shared" si="5"/>
        <v>-1942387.57125</v>
      </c>
      <c r="AA35" s="37">
        <f t="shared" si="5"/>
        <v>-1952986.4550000001</v>
      </c>
      <c r="AB35" s="37">
        <f t="shared" si="5"/>
        <v>-1963950.8175000001</v>
      </c>
      <c r="AC35" s="37">
        <f t="shared" si="5"/>
        <v>-1974915.1800000002</v>
      </c>
      <c r="AD35" s="37">
        <f t="shared" si="5"/>
        <v>-1985879.5425</v>
      </c>
      <c r="AE35" s="37">
        <f t="shared" si="5"/>
        <v>-1996843.905</v>
      </c>
      <c r="AF35" s="37">
        <f t="shared" si="5"/>
        <v>-2007808.2675000001</v>
      </c>
      <c r="AG35" s="37">
        <f t="shared" si="5"/>
        <v>-2007808.2675000001</v>
      </c>
    </row>
    <row r="37" spans="2:33" x14ac:dyDescent="0.2">
      <c r="B37" s="26" t="s">
        <v>108</v>
      </c>
      <c r="C37" s="60">
        <f>SUM(C31:C34)</f>
        <v>-32275954.947535541</v>
      </c>
      <c r="D37" s="26" t="s">
        <v>104</v>
      </c>
    </row>
    <row r="42" spans="2:33" x14ac:dyDescent="0.2">
      <c r="H42" s="34"/>
      <c r="I42" s="34"/>
    </row>
    <row r="43" spans="2:33" x14ac:dyDescent="0.2">
      <c r="I43" s="34"/>
    </row>
    <row r="44" spans="2:33" x14ac:dyDescent="0.2">
      <c r="I44" s="34"/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3CF9402C80B4B97D8584BFAFFAD04" ma:contentTypeVersion="10" ma:contentTypeDescription="Create a new document." ma:contentTypeScope="" ma:versionID="4469b68986cc42db7a1a7d82946e8bca">
  <xsd:schema xmlns:xsd="http://www.w3.org/2001/XMLSchema" xmlns:xs="http://www.w3.org/2001/XMLSchema" xmlns:p="http://schemas.microsoft.com/office/2006/metadata/properties" xmlns:ns2="7a2feed8-d7a7-4bf9-8938-b5a41b0c1e63" xmlns:ns3="957eae23-acdc-40f8-80ac-59490c15dae4" targetNamespace="http://schemas.microsoft.com/office/2006/metadata/properties" ma:root="true" ma:fieldsID="06c29a463fb9ecc48bfecf2ebc94be3a" ns2:_="" ns3:_="">
    <xsd:import namespace="7a2feed8-d7a7-4bf9-8938-b5a41b0c1e63"/>
    <xsd:import namespace="957eae23-acdc-40f8-80ac-59490c15da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feed8-d7a7-4bf9-8938-b5a41b0c1e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7eae23-acdc-40f8-80ac-59490c15da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8CEBE-4A61-45FF-BC58-C37E499F6F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A3D731-D98A-4593-AD5E-1786B5FBFC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88D1B6-0D3D-40D8-9D26-9052A06E0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feed8-d7a7-4bf9-8938-b5a41b0c1e63"/>
    <ds:schemaRef ds:uri="957eae23-acdc-40f8-80ac-59490c15d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Predpoklady</vt:lpstr>
      <vt:lpstr>01 Investičné výdavky</vt:lpstr>
      <vt:lpstr>02 Zostatková hodnota</vt:lpstr>
      <vt:lpstr>03 Prevádzkové výdavky</vt:lpstr>
      <vt:lpstr>04 Prevádzkové príjmy</vt:lpstr>
      <vt:lpstr>05 Finančná analýza</vt:lpstr>
      <vt:lpstr>Vstupy emisie</vt:lpstr>
      <vt:lpstr>07 Ekonomická analýza</vt:lpstr>
    </vt:vector>
  </TitlesOfParts>
  <Manager/>
  <Company>Ministerstvo financii 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Musec Daniel</dc:creator>
  <cp:keywords/>
  <dc:description/>
  <cp:lastModifiedBy>Musec Daniel</cp:lastModifiedBy>
  <cp:revision/>
  <dcterms:created xsi:type="dcterms:W3CDTF">2022-12-10T11:41:46Z</dcterms:created>
  <dcterms:modified xsi:type="dcterms:W3CDTF">2023-09-29T14:03:23Z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0x010100D0F3CF9402C80B4B97D8584BFAFFAD04</vt:lpwstr>
  </property>
</Properties>
</file>